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0" yWindow="120" windowWidth="24600" windowHeight="15435" tabRatio="500"/>
  </bookViews>
  <sheets>
    <sheet name="The Story" sheetId="1" r:id="rId1"/>
  </sheets>
  <definedNames>
    <definedName name="_xlnm.Print_Titles" localSheetId="0">'The Story'!$1:$2</definedName>
    <definedName name="SUBHEAD_DESCRIPTION">#REF!</definedName>
    <definedName name="TRANSLATION">#REF!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679" i="1" l="1"/>
  <c r="F678" i="1"/>
  <c r="F676" i="1"/>
  <c r="F675" i="1"/>
  <c r="F673" i="1"/>
  <c r="F672" i="1"/>
  <c r="F671" i="1"/>
  <c r="F669" i="1"/>
  <c r="F664" i="1"/>
  <c r="F662" i="1"/>
  <c r="F661" i="1"/>
  <c r="F660" i="1"/>
  <c r="F659" i="1"/>
  <c r="F658" i="1"/>
  <c r="F657" i="1"/>
  <c r="F655" i="1"/>
  <c r="F653" i="1"/>
  <c r="F651" i="1"/>
  <c r="F650" i="1"/>
  <c r="F649" i="1"/>
  <c r="F644" i="1" l="1"/>
  <c r="F643" i="1"/>
  <c r="F642" i="1"/>
  <c r="F641" i="1"/>
  <c r="F640" i="1"/>
  <c r="F639" i="1"/>
  <c r="F638" i="1"/>
  <c r="F637" i="1"/>
  <c r="F635" i="1"/>
  <c r="F634" i="1"/>
  <c r="F633" i="1"/>
  <c r="F632" i="1"/>
  <c r="F630" i="1"/>
  <c r="F629" i="1"/>
  <c r="F628" i="1"/>
  <c r="F627" i="1"/>
  <c r="F626" i="1"/>
  <c r="F625" i="1"/>
  <c r="F624" i="1"/>
  <c r="F623" i="1"/>
  <c r="F622" i="1"/>
  <c r="F620" i="1"/>
  <c r="F619" i="1"/>
  <c r="F617" i="1"/>
  <c r="F615" i="1"/>
  <c r="F614" i="1"/>
  <c r="F613" i="1"/>
  <c r="F612" i="1"/>
  <c r="F611" i="1"/>
  <c r="F609" i="1"/>
  <c r="F607" i="1"/>
  <c r="F605" i="1"/>
  <c r="F603" i="1"/>
  <c r="F601" i="1"/>
  <c r="F600" i="1"/>
  <c r="F595" i="1"/>
  <c r="F593" i="1"/>
  <c r="F591" i="1"/>
  <c r="F590" i="1"/>
  <c r="F589" i="1"/>
  <c r="F587" i="1"/>
  <c r="F586" i="1"/>
  <c r="F584" i="1"/>
  <c r="F583" i="1"/>
  <c r="F582" i="1"/>
  <c r="F581" i="1"/>
  <c r="F579" i="1"/>
  <c r="F574" i="1"/>
  <c r="F573" i="1"/>
  <c r="F572" i="1"/>
  <c r="F571" i="1"/>
  <c r="F570" i="1"/>
  <c r="F569" i="1"/>
  <c r="F568" i="1"/>
  <c r="F567" i="1"/>
  <c r="F566" i="1"/>
  <c r="F564" i="1"/>
  <c r="F563" i="1"/>
  <c r="F559" i="1"/>
  <c r="F558" i="1"/>
  <c r="F557" i="1"/>
  <c r="F556" i="1"/>
  <c r="F555" i="1"/>
  <c r="F553" i="1"/>
  <c r="F552" i="1"/>
  <c r="F551" i="1"/>
  <c r="F549" i="1"/>
  <c r="F548" i="1"/>
  <c r="F546" i="1"/>
  <c r="F545" i="1"/>
  <c r="F543" i="1"/>
  <c r="F541" i="1"/>
  <c r="F540" i="1"/>
  <c r="F539" i="1"/>
  <c r="F538" i="1"/>
  <c r="F537" i="1"/>
  <c r="F535" i="1"/>
  <c r="F534" i="1"/>
  <c r="F533" i="1"/>
  <c r="F532" i="1"/>
  <c r="F530" i="1"/>
  <c r="F528" i="1"/>
  <c r="F527" i="1"/>
  <c r="F523" i="1"/>
  <c r="F521" i="1"/>
  <c r="F520" i="1"/>
  <c r="F518" i="1"/>
  <c r="F516" i="1"/>
  <c r="F515" i="1"/>
  <c r="F513" i="1"/>
  <c r="F512" i="1"/>
  <c r="F510" i="1"/>
  <c r="F508" i="1"/>
  <c r="F506" i="1"/>
  <c r="F504" i="1"/>
  <c r="F503" i="1"/>
  <c r="F502" i="1"/>
  <c r="F501" i="1"/>
  <c r="F500" i="1"/>
  <c r="F499" i="1"/>
  <c r="F494" i="1"/>
  <c r="F493" i="1"/>
  <c r="F492" i="1"/>
  <c r="F490" i="1"/>
  <c r="F489" i="1"/>
  <c r="F488" i="1"/>
  <c r="F486" i="1"/>
  <c r="F485" i="1"/>
  <c r="F484" i="1"/>
  <c r="F482" i="1"/>
  <c r="F480" i="1"/>
  <c r="F478" i="1"/>
  <c r="F473" i="1"/>
  <c r="F471" i="1"/>
  <c r="F470" i="1"/>
  <c r="F468" i="1"/>
  <c r="F467" i="1"/>
  <c r="F466" i="1"/>
  <c r="F464" i="1"/>
  <c r="F463" i="1"/>
  <c r="F462" i="1"/>
  <c r="F460" i="1"/>
  <c r="F458" i="1"/>
  <c r="F457" i="1"/>
  <c r="F455" i="1"/>
  <c r="F454" i="1"/>
  <c r="F453" i="1"/>
  <c r="F447" i="1"/>
  <c r="F445" i="1"/>
  <c r="F443" i="1"/>
  <c r="F442" i="1"/>
  <c r="F440" i="1"/>
  <c r="F439" i="1"/>
  <c r="F434" i="1"/>
  <c r="F433" i="1"/>
  <c r="F432" i="1"/>
  <c r="F431" i="1"/>
  <c r="F429" i="1"/>
  <c r="F428" i="1"/>
  <c r="F426" i="1"/>
  <c r="F424" i="1"/>
  <c r="F422" i="1"/>
  <c r="F420" i="1"/>
  <c r="F418" i="1"/>
  <c r="F413" i="1" l="1"/>
  <c r="F411" i="1"/>
  <c r="F409" i="1"/>
  <c r="F407" i="1"/>
  <c r="F405" i="1"/>
  <c r="F403" i="1"/>
  <c r="F398" i="1"/>
  <c r="F396" i="1"/>
  <c r="F395" i="1"/>
  <c r="F393" i="1"/>
  <c r="F392" i="1"/>
  <c r="F390" i="1"/>
  <c r="F388" i="1"/>
  <c r="F386" i="1"/>
  <c r="F385" i="1"/>
  <c r="F383" i="1"/>
  <c r="F382" i="1"/>
  <c r="F377" i="1"/>
  <c r="F376" i="1"/>
  <c r="F375" i="1"/>
  <c r="F373" i="1"/>
  <c r="F371" i="1"/>
  <c r="F369" i="1"/>
  <c r="F367" i="1"/>
  <c r="F366" i="1"/>
  <c r="F361" i="1"/>
  <c r="F360" i="1"/>
  <c r="F358" i="1"/>
  <c r="F357" i="1"/>
  <c r="F356" i="1"/>
  <c r="F355" i="1"/>
  <c r="F353" i="1"/>
  <c r="F352" i="1"/>
  <c r="F350" i="1"/>
  <c r="F349" i="1"/>
  <c r="F348" i="1"/>
  <c r="F346" i="1"/>
  <c r="F345" i="1"/>
  <c r="F344" i="1"/>
  <c r="F343" i="1"/>
  <c r="F341" i="1"/>
  <c r="F339" i="1"/>
  <c r="F338" i="1"/>
  <c r="F337" i="1"/>
  <c r="F336" i="1"/>
  <c r="F334" i="1"/>
  <c r="F333" i="1"/>
  <c r="F331" i="1"/>
  <c r="F329" i="1"/>
  <c r="F328" i="1"/>
  <c r="F323" i="1"/>
  <c r="F321" i="1"/>
  <c r="F320" i="1"/>
  <c r="F318" i="1"/>
  <c r="F317" i="1"/>
  <c r="F315" i="1"/>
  <c r="F313" i="1"/>
  <c r="F311" i="1"/>
  <c r="F309" i="1"/>
  <c r="F304" i="1"/>
  <c r="F303" i="1"/>
  <c r="F302" i="1"/>
  <c r="F301" i="1"/>
  <c r="F300" i="1"/>
  <c r="F299" i="1"/>
  <c r="F297" i="1"/>
  <c r="F296" i="1"/>
  <c r="F295" i="1"/>
  <c r="F294" i="1"/>
  <c r="F293" i="1"/>
  <c r="F291" i="1"/>
  <c r="F289" i="1"/>
  <c r="F287" i="1"/>
  <c r="F285" i="1"/>
  <c r="F283" i="1"/>
  <c r="F281" i="1"/>
  <c r="F280" i="1"/>
  <c r="F276" i="1"/>
  <c r="F274" i="1"/>
  <c r="F273" i="1"/>
  <c r="F272" i="1"/>
  <c r="F271" i="1"/>
  <c r="F270" i="1"/>
  <c r="F268" i="1"/>
  <c r="F263" i="1"/>
  <c r="F261" i="1"/>
  <c r="F259" i="1"/>
  <c r="F258" i="1"/>
  <c r="F257" i="1"/>
  <c r="F256" i="1"/>
  <c r="F255" i="1"/>
  <c r="F254" i="1"/>
  <c r="F253" i="1"/>
  <c r="F48" i="1"/>
  <c r="F252" i="1"/>
  <c r="F250" i="1"/>
  <c r="F249" i="1"/>
  <c r="F247" i="1"/>
  <c r="F246" i="1"/>
  <c r="F245" i="1"/>
  <c r="F244" i="1"/>
  <c r="F243" i="1"/>
  <c r="F242" i="1"/>
  <c r="F240" i="1"/>
  <c r="F238" i="1"/>
  <c r="F237" i="1"/>
  <c r="F236" i="1"/>
  <c r="F231" i="1"/>
  <c r="F229" i="1"/>
  <c r="F228" i="1"/>
  <c r="F226" i="1"/>
  <c r="F225" i="1"/>
  <c r="F223" i="1"/>
  <c r="F222" i="1"/>
  <c r="F220" i="1"/>
  <c r="F218" i="1"/>
  <c r="F216" i="1"/>
  <c r="F215" i="1"/>
  <c r="F210" i="1" l="1"/>
  <c r="F208" i="1"/>
  <c r="F206" i="1"/>
  <c r="F204" i="1"/>
  <c r="F202" i="1"/>
  <c r="F201" i="1"/>
  <c r="F199" i="1"/>
  <c r="F197" i="1"/>
  <c r="F196" i="1"/>
  <c r="F194" i="1"/>
  <c r="F193" i="1"/>
  <c r="F37" i="1"/>
  <c r="F188" i="1"/>
  <c r="F187" i="1"/>
  <c r="F184" i="1"/>
  <c r="F182" i="1"/>
  <c r="F181" i="1"/>
  <c r="F180" i="1"/>
  <c r="F178" i="1"/>
  <c r="F177" i="1"/>
  <c r="F172" i="1"/>
  <c r="F167" i="1"/>
  <c r="F166" i="1"/>
  <c r="F164" i="1"/>
  <c r="F162" i="1"/>
  <c r="F161" i="1"/>
  <c r="F160" i="1"/>
  <c r="F158" i="1"/>
  <c r="F156" i="1"/>
  <c r="F154" i="1"/>
  <c r="F153" i="1"/>
  <c r="F149" i="1"/>
  <c r="F148" i="1"/>
  <c r="F146" i="1"/>
  <c r="F145" i="1"/>
  <c r="F143" i="1"/>
  <c r="F141" i="1"/>
  <c r="F139" i="1"/>
  <c r="F138" i="1"/>
  <c r="F134" i="1"/>
  <c r="F133" i="1"/>
  <c r="F132" i="1"/>
  <c r="F130" i="1"/>
  <c r="F129" i="1"/>
  <c r="F128" i="1"/>
  <c r="F127" i="1"/>
  <c r="F126" i="1"/>
  <c r="F125" i="1"/>
  <c r="F124" i="1"/>
  <c r="F123" i="1"/>
  <c r="F121" i="1"/>
  <c r="F119" i="1"/>
  <c r="F117" i="1"/>
  <c r="F115" i="1"/>
  <c r="F114" i="1"/>
  <c r="F112" i="1"/>
  <c r="F110" i="1"/>
  <c r="F109" i="1"/>
  <c r="F108" i="1"/>
  <c r="F106" i="1"/>
  <c r="F104" i="1"/>
  <c r="F99" i="1"/>
  <c r="F97" i="1"/>
  <c r="F96" i="1"/>
  <c r="F95" i="1"/>
  <c r="F93" i="1"/>
  <c r="F92" i="1"/>
  <c r="F90" i="1"/>
  <c r="F88" i="1"/>
  <c r="F87" i="1"/>
  <c r="F83" i="1"/>
  <c r="F81" i="1"/>
  <c r="F80" i="1"/>
  <c r="F78" i="1"/>
  <c r="F77" i="1"/>
  <c r="F75" i="1"/>
  <c r="F74" i="1"/>
  <c r="F73" i="1"/>
  <c r="F71" i="1"/>
  <c r="F70" i="1"/>
  <c r="F68" i="1"/>
  <c r="F67" i="1"/>
  <c r="F66" i="1"/>
  <c r="F65" i="1"/>
  <c r="F61" i="1"/>
  <c r="F59" i="1"/>
  <c r="F58" i="1"/>
  <c r="F57" i="1"/>
  <c r="F56" i="1"/>
  <c r="F55" i="1"/>
  <c r="F54" i="1"/>
  <c r="F52" i="1"/>
  <c r="F50" i="1"/>
  <c r="F46" i="1"/>
  <c r="F45" i="1"/>
  <c r="F40" i="1"/>
  <c r="F39" i="1"/>
  <c r="F38" i="1"/>
  <c r="F36" i="1"/>
  <c r="F35" i="1"/>
  <c r="F34" i="1"/>
  <c r="F33" i="1"/>
  <c r="F31" i="1"/>
  <c r="F30" i="1"/>
  <c r="F29" i="1"/>
  <c r="F28" i="1"/>
  <c r="F27" i="1"/>
  <c r="F25" i="1"/>
  <c r="F24" i="1"/>
  <c r="F22" i="1"/>
  <c r="F21" i="1"/>
  <c r="F20" i="1"/>
  <c r="F19" i="1"/>
  <c r="F18" i="1"/>
  <c r="F13" i="1"/>
  <c r="F12" i="1"/>
  <c r="F11" i="1"/>
  <c r="F10" i="1"/>
  <c r="F8" i="1"/>
  <c r="F6" i="1"/>
  <c r="F5" i="1"/>
  <c r="F531" i="1" l="1"/>
  <c r="F368" i="1"/>
  <c r="F32" i="1"/>
  <c r="F23" i="1"/>
  <c r="F26" i="1"/>
  <c r="F107" i="1"/>
  <c r="F111" i="1"/>
  <c r="F663" i="1"/>
  <c r="F441" i="1"/>
  <c r="F487" i="1"/>
  <c r="F483" i="1"/>
  <c r="F322" i="1"/>
  <c r="F514" i="1"/>
  <c r="F606" i="1"/>
  <c r="F105" i="1"/>
  <c r="F69" i="1"/>
  <c r="F430" i="1"/>
  <c r="F547" i="1"/>
  <c r="F554" i="1"/>
  <c r="F465" i="1"/>
  <c r="F290" i="1"/>
  <c r="F232" i="1"/>
  <c r="F173" i="1"/>
  <c r="F654" i="1"/>
  <c r="F446" i="1"/>
  <c r="F517" i="1"/>
  <c r="F621" i="1"/>
  <c r="F330" i="1"/>
  <c r="F511" i="1"/>
  <c r="F60" i="1"/>
  <c r="F157" i="1"/>
  <c r="F384" i="1"/>
  <c r="F284" i="1"/>
  <c r="F282" i="1"/>
  <c r="F340" i="1"/>
  <c r="F312" i="1"/>
  <c r="F207" i="1"/>
  <c r="F288" i="1"/>
  <c r="F94" i="1"/>
  <c r="F474" i="1"/>
  <c r="F370" i="1"/>
  <c r="F585" i="1"/>
  <c r="F544" i="1"/>
  <c r="F618" i="1"/>
  <c r="F324" i="1"/>
  <c r="F41" i="1"/>
  <c r="F310" i="1"/>
  <c r="F399" i="1"/>
  <c r="F200" i="1"/>
  <c r="F365" i="1"/>
  <c r="F389" i="1"/>
  <c r="F230" i="1"/>
  <c r="F131" i="1"/>
  <c r="F391" i="1"/>
  <c r="F316" i="1"/>
  <c r="F387" i="1"/>
  <c r="F314" i="1"/>
  <c r="F610" i="1"/>
  <c r="F448" i="1"/>
  <c r="F351" i="1"/>
  <c r="F165" i="1"/>
  <c r="F452" i="1"/>
  <c r="F140" i="1"/>
  <c r="F241" i="1"/>
  <c r="F636" i="1"/>
  <c r="F656" i="1"/>
  <c r="F159" i="1"/>
  <c r="F588" i="1"/>
  <c r="F189" i="1"/>
  <c r="F335" i="1"/>
  <c r="F423" i="1"/>
  <c r="F542" i="1"/>
  <c r="F147" i="1"/>
  <c r="F186" i="1"/>
  <c r="F347" i="1"/>
  <c r="F459" i="1"/>
  <c r="F507" i="1"/>
  <c r="F461" i="1"/>
  <c r="F163" i="1"/>
  <c r="F319" i="1"/>
  <c r="F354" i="1"/>
  <c r="F227" i="1"/>
  <c r="F550" i="1"/>
  <c r="F9" i="1"/>
  <c r="F608" i="1"/>
  <c r="F49" i="1"/>
  <c r="F195" i="1"/>
  <c r="F652" i="1"/>
  <c r="F394" i="1"/>
  <c r="F616" i="1"/>
  <c r="F219" i="1"/>
  <c r="F248" i="1"/>
  <c r="F209" i="1"/>
  <c r="F427" i="1"/>
  <c r="F378" i="1"/>
  <c r="F269" i="1"/>
  <c r="F203" i="1"/>
  <c r="F267" i="1"/>
  <c r="F425" i="1"/>
  <c r="F374" i="1"/>
  <c r="F342" i="1"/>
  <c r="F677" i="1"/>
  <c r="F592" i="1"/>
  <c r="F529" i="1"/>
  <c r="F522" i="1"/>
  <c r="F509" i="1"/>
  <c r="F469" i="1"/>
  <c r="F456" i="1"/>
  <c r="F397" i="1"/>
  <c r="F262" i="1"/>
  <c r="F239" i="1"/>
  <c r="F221" i="1"/>
  <c r="F217" i="1"/>
  <c r="F7" i="1"/>
  <c r="F580" i="1"/>
  <c r="F596" i="1"/>
  <c r="F645" i="1"/>
  <c r="F479" i="1"/>
  <c r="F72" i="1"/>
  <c r="F251" i="1"/>
  <c r="F275" i="1"/>
  <c r="F372" i="1"/>
  <c r="F168" i="1"/>
  <c r="F417" i="1"/>
  <c r="F332" i="1"/>
  <c r="F98" i="1"/>
  <c r="F100" i="1"/>
  <c r="F118" i="1"/>
  <c r="F205" i="1"/>
  <c r="F419" i="1"/>
  <c r="F602" i="1"/>
  <c r="F604" i="1"/>
  <c r="F481" i="1"/>
  <c r="F53" i="1"/>
  <c r="F472" i="1"/>
  <c r="F444" i="1"/>
  <c r="F519" i="1"/>
  <c r="F495" i="1"/>
  <c r="F435" i="1"/>
  <c r="F491" i="1"/>
  <c r="F594" i="1"/>
  <c r="F14" i="1"/>
  <c r="F76" i="1"/>
  <c r="F305" i="1"/>
  <c r="F89" i="1"/>
  <c r="F82" i="1"/>
  <c r="F91" i="1"/>
  <c r="F116" i="1"/>
</calcChain>
</file>

<file path=xl/sharedStrings.xml><?xml version="1.0" encoding="utf-8"?>
<sst xmlns="http://schemas.openxmlformats.org/spreadsheetml/2006/main" count="854" uniqueCount="657">
  <si>
    <t>The Story Map</t>
  </si>
  <si>
    <t>Genesis 8:13-21</t>
  </si>
  <si>
    <t>Genesis 9:1-2, 8-13, 16</t>
  </si>
  <si>
    <t>Genesis 12:1-5</t>
  </si>
  <si>
    <t>Hebrews 11:8</t>
  </si>
  <si>
    <t>Genesis 12:6-7</t>
  </si>
  <si>
    <t>Genesis 13:5-6, 14-18</t>
  </si>
  <si>
    <t>Hebrews 11:9-10</t>
  </si>
  <si>
    <t>Genesis 15:1-6</t>
  </si>
  <si>
    <t>Romans 4:18-22</t>
  </si>
  <si>
    <t>Genesis 17:14-16</t>
  </si>
  <si>
    <t>Genesis 21:1-2</t>
  </si>
  <si>
    <t>Hebrews 11:11-12</t>
  </si>
  <si>
    <t>Genesis 21:3-7</t>
  </si>
  <si>
    <t>Genesis 21:8-20</t>
  </si>
  <si>
    <t>Genesis 22:1-13</t>
  </si>
  <si>
    <t>Hebrews 11:17-19</t>
  </si>
  <si>
    <t>Genesis 22:14-18</t>
  </si>
  <si>
    <t>Genesis 32:3-30</t>
  </si>
  <si>
    <t>Genesis 33:1-12</t>
  </si>
  <si>
    <t>Genesis 35:1-7,9-12,16-19,22,27-29</t>
  </si>
  <si>
    <t>Genesis 37:12-36</t>
  </si>
  <si>
    <t>Genesis 39:1-23</t>
  </si>
  <si>
    <t>Genesis 41:1a,8,14-16</t>
  </si>
  <si>
    <t>Genesis 41:37, 39-44</t>
  </si>
  <si>
    <t>Genesis 42:1-4, 6-24</t>
  </si>
  <si>
    <t>Genesis 43:1-3,11,13-15,26-31,33-34</t>
  </si>
  <si>
    <t>Genesis 44:1-18, 27-34;</t>
  </si>
  <si>
    <t>Genesis 45:1-15, 25-28</t>
  </si>
  <si>
    <t>Genesis 46:1-5, 28-30</t>
  </si>
  <si>
    <t>Genesis 47:11,28-31</t>
  </si>
  <si>
    <t>Genesis 48:21</t>
  </si>
  <si>
    <t>Genesis 50:15-26</t>
  </si>
  <si>
    <t>Exodus 1:6-14, 22</t>
  </si>
  <si>
    <t>Exodus 2:1-25</t>
  </si>
  <si>
    <t>Exodus 3:1-15</t>
  </si>
  <si>
    <t>Exodus 4:10-17, 27-31</t>
  </si>
  <si>
    <t>Exodus 7:8-24</t>
  </si>
  <si>
    <t>Exodus 11:4-8</t>
  </si>
  <si>
    <t>Exodus 12:1-3,5-8, 11-13, 21-24, 28-33, 40-41</t>
  </si>
  <si>
    <t>Exodus 13:21-22</t>
  </si>
  <si>
    <t>Exodus 14:1-29</t>
  </si>
  <si>
    <t>Exodus 15:22-27</t>
  </si>
  <si>
    <t>Exodus 16:1-3, 6-15</t>
  </si>
  <si>
    <t>Exodus 17:1-7</t>
  </si>
  <si>
    <t>Exodus 19:1-6, 9-25;</t>
  </si>
  <si>
    <t>Exodus 20:18-21</t>
  </si>
  <si>
    <t>Exodus 20:2-17</t>
  </si>
  <si>
    <t>Exodus 24:3-8,12;</t>
  </si>
  <si>
    <t>Exodus 32:1-35</t>
  </si>
  <si>
    <t>Exodus 33:1-3, 7-23</t>
  </si>
  <si>
    <t>Exodus 34:1-10, 14, 27-35</t>
  </si>
  <si>
    <t xml:space="preserve">Exodus 40:34-38  </t>
  </si>
  <si>
    <t>Numbers 10:11-13</t>
  </si>
  <si>
    <t>Numbers 11:1-15, 16a, 18-23,31-34</t>
  </si>
  <si>
    <t>Numbers 12:1-16</t>
  </si>
  <si>
    <t>Numbers 13:1-2, 17-21, 23, 25-28, 30-33</t>
  </si>
  <si>
    <t>Numbers 14:1-35</t>
  </si>
  <si>
    <t>Numbers 20:1-13</t>
  </si>
  <si>
    <t>Numbers 20:22-29</t>
  </si>
  <si>
    <t>Numbers 21:1-9</t>
  </si>
  <si>
    <t xml:space="preserve">Numbers 21: 21-26, 31-35  </t>
  </si>
  <si>
    <t>Numbers 25:1-13</t>
  </si>
  <si>
    <t>Numbers 27:12-20, 22-23</t>
  </si>
  <si>
    <t>Deuteronomy 1:1a</t>
  </si>
  <si>
    <t>Deuteronomy 2:7</t>
  </si>
  <si>
    <t>Deuteronomy 4:32-40</t>
  </si>
  <si>
    <t>Deuteronomy 6:4-7</t>
  </si>
  <si>
    <t>Deuteronomy 8:1-5</t>
  </si>
  <si>
    <t>Deuteronomy 9:1-6</t>
  </si>
  <si>
    <t>Deuteronomy 29:2-6</t>
  </si>
  <si>
    <t>Deuteronomy 30:11-20</t>
  </si>
  <si>
    <t>Deuteronomy 31:7-8</t>
  </si>
  <si>
    <t>Deuteronomy 32:48-52</t>
  </si>
  <si>
    <t xml:space="preserve">Deuteronomy 34:1-8,10-12  </t>
  </si>
  <si>
    <t>Joshua 1:1-11,16-18</t>
  </si>
  <si>
    <t>Joshua 2:1-16, 22-24</t>
  </si>
  <si>
    <t>Joshua 6:1-17,20-26a, 27</t>
  </si>
  <si>
    <t>Joshua 8:1-2,10-22, 25, 30-31a,34-35</t>
  </si>
  <si>
    <t>Joshua 10:1-28, 40-43</t>
  </si>
  <si>
    <t>Joshua 11:1-15,23</t>
  </si>
  <si>
    <t>Joshua 23:1-5, 14-16</t>
  </si>
  <si>
    <t>Joshua 24:1-15, 24-31</t>
  </si>
  <si>
    <t>Judges 2:7-22</t>
  </si>
  <si>
    <t>Judges 3:7-11</t>
  </si>
  <si>
    <t>Judges 4:1-24</t>
  </si>
  <si>
    <t>Judges 6:1-10</t>
  </si>
  <si>
    <t>Judges 6:11-24,33-40</t>
  </si>
  <si>
    <t>Judges7:1-25</t>
  </si>
  <si>
    <t>Judges 8:28, 33-34</t>
  </si>
  <si>
    <t>Judges 13:1-5</t>
  </si>
  <si>
    <t>Judges 13:24-25</t>
  </si>
  <si>
    <t>1 Samuel 8:1-22</t>
  </si>
  <si>
    <t>1 Samuel 9:1-6,10,14-21</t>
  </si>
  <si>
    <t>1 Samuel 10:1-2,5-7, 9, 17-26</t>
  </si>
  <si>
    <t>1 Samuel 11:1-15; 12:1-2a, 12-25</t>
  </si>
  <si>
    <t>(Get rid of the word but in 12)</t>
  </si>
  <si>
    <t>1 Samuel 13:1-14</t>
  </si>
  <si>
    <t>1 Samuel 15:1-4,7-9</t>
  </si>
  <si>
    <t>1 Samuel 16:1,4-13a</t>
  </si>
  <si>
    <t>1 Samuel 17:1-11, 16-54</t>
  </si>
  <si>
    <t>1 Samuel 17:57-58</t>
  </si>
  <si>
    <t>1 Samuel 18:1-16</t>
  </si>
  <si>
    <t>Psalm 59:1-5, 9-10a,16-17</t>
  </si>
  <si>
    <t>1 Samuel 24:1-22</t>
  </si>
  <si>
    <t>2 Samuel 22:1-7,47</t>
  </si>
  <si>
    <t>1 Samuel 31:1-12</t>
  </si>
  <si>
    <t>2 Samuel 6:1-15</t>
  </si>
  <si>
    <t>2 Samuel 6:16-23</t>
  </si>
  <si>
    <t>1 Chronicles 17 1-27</t>
  </si>
  <si>
    <t xml:space="preserve">2 Samuel 11:1-17, 26-27  </t>
  </si>
  <si>
    <t>2 Samuel 12:1-13a</t>
  </si>
  <si>
    <t>Psalm 51:1-12</t>
  </si>
  <si>
    <t>2 Samuel 12:13b-20a</t>
  </si>
  <si>
    <t>Psalm 32:1-7, 10-11</t>
  </si>
  <si>
    <t>2 Samuel 12:24-25</t>
  </si>
  <si>
    <t>2 Samuel 18:1-18, 21, 31-33</t>
  </si>
  <si>
    <t>2 Samuel 19:4</t>
  </si>
  <si>
    <t>1 Chronicles 22:1-19</t>
  </si>
  <si>
    <t>1 Chronicles 29:1-20</t>
  </si>
  <si>
    <t>Psalm 23</t>
  </si>
  <si>
    <t>1 Kings 1:1, 15-17, 29-31</t>
  </si>
  <si>
    <t>1 Kings 2:1-4, 10-12</t>
  </si>
  <si>
    <t>1 Kings 3:1-28</t>
  </si>
  <si>
    <t>1 Kings 4:29-34</t>
  </si>
  <si>
    <t>Proverbs 1:1-4a,7</t>
  </si>
  <si>
    <t>Proverbs 2: 1-6,12</t>
  </si>
  <si>
    <t>Proverbs 3:1-12</t>
  </si>
  <si>
    <t>Proverbs 6:28-29</t>
  </si>
  <si>
    <t>Proverbs 20:2-4,7,10,13,15,17,19-22,24,27,29</t>
  </si>
  <si>
    <t>Proverbs 21:1-7,10,13-15,17,19-21,23,27-28,30-31</t>
  </si>
  <si>
    <t>1 Kings 5:1-12</t>
  </si>
  <si>
    <t>1 Kings 6:1</t>
  </si>
  <si>
    <t>1 Kings 7:51</t>
  </si>
  <si>
    <t>1 Kings 8:1-6,</t>
  </si>
  <si>
    <t>2 Chronicles 5:11-14</t>
  </si>
  <si>
    <t>1 Kings 8:12-14, 22-24,27-30</t>
  </si>
  <si>
    <t>2 Chronicles 6:40-42</t>
  </si>
  <si>
    <t>2 Chronicles 7:1-3</t>
  </si>
  <si>
    <t>1 Kings 8:54-61</t>
  </si>
  <si>
    <t>2 Chronicles 7:4-5,11-22</t>
  </si>
  <si>
    <t>1 Kings 10:1-10,13-29</t>
  </si>
  <si>
    <t>1 Kings 11:1-6, 9-13</t>
  </si>
  <si>
    <t>1 Kings 12:1-17</t>
  </si>
  <si>
    <t>1 Kings 12:18-33</t>
  </si>
  <si>
    <t>1 Kings 13:1-6,33</t>
  </si>
  <si>
    <t>1 Kings 14:1-18</t>
  </si>
  <si>
    <t>1 Kings 14:21a, 22-28, 30-31</t>
  </si>
  <si>
    <t>1 Kings 15:1-6,8-24</t>
  </si>
  <si>
    <t>1 Kings 16:29-34</t>
  </si>
  <si>
    <t>1 Kings 17:1-6</t>
  </si>
  <si>
    <t>1 Kings 18:1-2, 17-46</t>
  </si>
  <si>
    <t>1 Kings 19:1-21</t>
  </si>
  <si>
    <t>2 Kings 2:1-2,7-15</t>
  </si>
  <si>
    <t>2 Kings 4:11-17</t>
  </si>
  <si>
    <t>2 Kings 4:27-37</t>
  </si>
  <si>
    <t>2 Kings 6:8-23</t>
  </si>
  <si>
    <t>Amos 1:1-2a</t>
  </si>
  <si>
    <t>Amos 3:1-2,9-11</t>
  </si>
  <si>
    <t>Amos 4:2,3,6,10,12</t>
  </si>
  <si>
    <t>Amos 5:6a, 14,15</t>
  </si>
  <si>
    <t>Amos 9: 8</t>
  </si>
  <si>
    <t>Hosea 4:1-2</t>
  </si>
  <si>
    <t>Hosea 5:4,7</t>
  </si>
  <si>
    <t>Hosea 5:14-15</t>
  </si>
  <si>
    <t>Hosea 8:13b-14</t>
  </si>
  <si>
    <t>Hosea 9:7</t>
  </si>
  <si>
    <t>Hosea 14:1-2</t>
  </si>
  <si>
    <t>2 Kings 17:1-7, 11b-14, 23b, 18</t>
  </si>
  <si>
    <t>2 Kings 18:1-4a,7, 17-25, 28-33</t>
  </si>
  <si>
    <t>2 Kings 19:9-21a, 22-23a, 27-28,32-37</t>
  </si>
  <si>
    <t>Isaiah 6:1-8</t>
  </si>
  <si>
    <t>Isaiah 3:1-3, 8,9, 12b-13</t>
  </si>
  <si>
    <t>Isaiah 13:4-5</t>
  </si>
  <si>
    <t>Isaiah 14:1-5</t>
  </si>
  <si>
    <t>Isaiah 49:8-9a, 13-18, 23c, 26b</t>
  </si>
  <si>
    <t>Isaiah 53</t>
  </si>
  <si>
    <t>2 Kings 21:1a,2-16</t>
  </si>
  <si>
    <t>2 Chronicles 33:10-13</t>
  </si>
  <si>
    <t>2 Chronicles 33:21-25</t>
  </si>
  <si>
    <t>2 Kings 23:36a, 37</t>
  </si>
  <si>
    <t>2 Kings 24:1-2,6, 8-17</t>
  </si>
  <si>
    <t>Ezekiel 1:1,4-6, 22-28</t>
  </si>
  <si>
    <t>Ezekiel 2: 1-4, 6-7</t>
  </si>
  <si>
    <t>Ezekiel 6:1-10</t>
  </si>
  <si>
    <t>Ezekiel 7:5,7-8</t>
  </si>
  <si>
    <t>Jeremiah 1:4-10,18-19</t>
  </si>
  <si>
    <t>Jeremiah 2:4, 11-13, 20a,21-22,26-28</t>
  </si>
  <si>
    <t>Jeremiah 4:5-8</t>
  </si>
  <si>
    <t>Jeremiah 5:1</t>
  </si>
  <si>
    <t>Jeremiah 13:17-19</t>
  </si>
  <si>
    <t>2 Chronicles 36:15-16</t>
  </si>
  <si>
    <t>2 Chronicles 36:11-14</t>
  </si>
  <si>
    <t>2 Kings 25:1-3</t>
  </si>
  <si>
    <t>Jeremiah 21:1-10</t>
  </si>
  <si>
    <t>2 Kings 25:4-12,21b</t>
  </si>
  <si>
    <t>Lamentations 1:1-3</t>
  </si>
  <si>
    <t>Lamentations 2:17</t>
  </si>
  <si>
    <t>Lamentations 3:21-26</t>
  </si>
  <si>
    <t>Lamentations 5:1,15-16, 19-21</t>
  </si>
  <si>
    <t>Ezekiel 36:22-28,33-36</t>
  </si>
  <si>
    <t>Ezekiel 37:1-14</t>
  </si>
  <si>
    <t>Daniel 1:3-21</t>
  </si>
  <si>
    <t>Daniel 2:1-30</t>
  </si>
  <si>
    <t>Daniel 2:46-49</t>
  </si>
  <si>
    <t>Daniel 3:1-30</t>
  </si>
  <si>
    <t>Daniel 6:1-27</t>
  </si>
  <si>
    <t>Jeremiah 30: 2-3, 8,10,11</t>
  </si>
  <si>
    <t>Jeremiah 31:23-25;</t>
  </si>
  <si>
    <t>Jeremiah 29:10-14</t>
  </si>
  <si>
    <t>Ezra 1:1-7,11</t>
  </si>
  <si>
    <t>Ezra 2:64-67</t>
  </si>
  <si>
    <t>Ezra 3:1-5, 10-13</t>
  </si>
  <si>
    <t>Ezra 4:1-5,24</t>
  </si>
  <si>
    <t>Haggai 1:1-15</t>
  </si>
  <si>
    <t>Haggai 2:1-9</t>
  </si>
  <si>
    <t>Zechariah 1:1</t>
  </si>
  <si>
    <t>Zechariah 8:2-23</t>
  </si>
  <si>
    <t xml:space="preserve">Ezra 5:3-17  </t>
  </si>
  <si>
    <t>Ezra 6:1-15</t>
  </si>
  <si>
    <t>Ezra 6:16-18</t>
  </si>
  <si>
    <t>2:5-23</t>
  </si>
  <si>
    <t>9:20-28</t>
  </si>
  <si>
    <t>Ezra 7:1-28</t>
  </si>
  <si>
    <t>Nehemiah 1:1-6,11a</t>
  </si>
  <si>
    <t>Nehemiah 2:11-18</t>
  </si>
  <si>
    <t>Nehemiah 4:1-23</t>
  </si>
  <si>
    <t>Nehemiah 6:1-10,15-16</t>
  </si>
  <si>
    <t>Nehemiah 7:1-2</t>
  </si>
  <si>
    <t>Nehemiah 8:1-3,5-18</t>
  </si>
  <si>
    <t>Malachi 1:1,6-11</t>
  </si>
  <si>
    <t>Malachi 2:13-16</t>
  </si>
  <si>
    <t>Malachi 3:6-18,</t>
  </si>
  <si>
    <t>Malachi 4:1-6</t>
  </si>
  <si>
    <t>John 1:1-14, 17-18</t>
  </si>
  <si>
    <t>Luke 1:26b-35,38, 46-55</t>
  </si>
  <si>
    <t>Matthew 1:19-24</t>
  </si>
  <si>
    <t>Luke 2:1-20</t>
  </si>
  <si>
    <t>Matthew 2:1-23a</t>
  </si>
  <si>
    <t>TRANSITION: Short transition to story of Jesus as a boy in the temple</t>
  </si>
  <si>
    <t>Luke 2:41-52</t>
  </si>
  <si>
    <t>Matthew 3:1-2,4-6</t>
  </si>
  <si>
    <t>Matthew 3:13-17</t>
  </si>
  <si>
    <t>Matthew 4:1-11</t>
  </si>
  <si>
    <t>John 1:19-51</t>
  </si>
  <si>
    <t>John 2:1-11</t>
  </si>
  <si>
    <t>John 3:1-18</t>
  </si>
  <si>
    <t>John 4:4-30, 39-43</t>
  </si>
  <si>
    <t>Mark 1:21-45</t>
  </si>
  <si>
    <t>Mark 2:1-17</t>
  </si>
  <si>
    <t xml:space="preserve">Mark 3:1-6  </t>
  </si>
  <si>
    <t>Matthew 4:23-25</t>
  </si>
  <si>
    <t>Mark 3:9-12</t>
  </si>
  <si>
    <t>Mark 3:13-19</t>
  </si>
  <si>
    <t>Luke 8:1-3</t>
  </si>
  <si>
    <t>Matthew 11:2-14</t>
  </si>
  <si>
    <t>Mark 4:1-34</t>
  </si>
  <si>
    <t>Luke 15:1-32</t>
  </si>
  <si>
    <t>Luke 10:25-37</t>
  </si>
  <si>
    <t>Matthew 5:1-16</t>
  </si>
  <si>
    <t>Matthew 6:5-15,19-34</t>
  </si>
  <si>
    <t>Matthew 7:24-27</t>
  </si>
  <si>
    <t>Mark 4:35-41</t>
  </si>
  <si>
    <t>Mark 5:1-43</t>
  </si>
  <si>
    <t>Matthew 9:27-34</t>
  </si>
  <si>
    <t>Mark 6:14-44</t>
  </si>
  <si>
    <t>Matthew 14:22-36</t>
  </si>
  <si>
    <t>John 6:22-35, 47-58, 66-71</t>
  </si>
  <si>
    <t>Mark 8:27-38</t>
  </si>
  <si>
    <t>Matthew 17:1-2</t>
  </si>
  <si>
    <t>Luke 9:30-31</t>
  </si>
  <si>
    <t>Mark 9:5-6</t>
  </si>
  <si>
    <t>Matthew 17:5-8</t>
  </si>
  <si>
    <t>Mark 9:9-10,14-15,30-32</t>
  </si>
  <si>
    <t>John 7:11-15, 25-31, 37-44</t>
  </si>
  <si>
    <t xml:space="preserve">John 8: 12-14, 21-24, 30-32, 51-59  </t>
  </si>
  <si>
    <t>John 11:1-53</t>
  </si>
  <si>
    <t>Mark 10:13-34</t>
  </si>
  <si>
    <t>John 11:55-57</t>
  </si>
  <si>
    <t>Mark 11:1-10</t>
  </si>
  <si>
    <t>Matthew 21:10-17</t>
  </si>
  <si>
    <t>Mark 12:35-37</t>
  </si>
  <si>
    <t>John 12:27-33, 37,42-50</t>
  </si>
  <si>
    <t>Mark 14:1-2</t>
  </si>
  <si>
    <t>Luke 22:3-6</t>
  </si>
  <si>
    <t>Mark 14:12-17</t>
  </si>
  <si>
    <t>John 13:1a-17, 21-30</t>
  </si>
  <si>
    <t>Matthew 26:26-29</t>
  </si>
  <si>
    <t>John 14:1-17</t>
  </si>
  <si>
    <t>John 16:12-13,32-33</t>
  </si>
  <si>
    <t>John 17:1-5,24-26</t>
  </si>
  <si>
    <t>Matthew 26:30</t>
  </si>
  <si>
    <t>TRANSITION:</t>
  </si>
  <si>
    <t>Matthew 26:31-42</t>
  </si>
  <si>
    <t>Luke 22:43-44</t>
  </si>
  <si>
    <t>Matthew 26:43-47</t>
  </si>
  <si>
    <t>John 18:4-11</t>
  </si>
  <si>
    <t>Luke 22:51b-53</t>
  </si>
  <si>
    <t>Matthew 26:57-68</t>
  </si>
  <si>
    <t>Luke 22:55-62</t>
  </si>
  <si>
    <t>Matthew 27:1-5</t>
  </si>
  <si>
    <t>Matthew 27:32</t>
  </si>
  <si>
    <t>Mark 15:29-32a</t>
  </si>
  <si>
    <t>Luke 23:32-43</t>
  </si>
  <si>
    <t>John 19:25-27</t>
  </si>
  <si>
    <t>Luke 23:44-45a</t>
  </si>
  <si>
    <t>Matthew 27:46-49</t>
  </si>
  <si>
    <t>John 19:30</t>
  </si>
  <si>
    <t>Matthew 27:51-54</t>
  </si>
  <si>
    <t>Luke 23:48-49</t>
  </si>
  <si>
    <t>John 19:31-42,</t>
  </si>
  <si>
    <t>Matthew 27:62-66</t>
  </si>
  <si>
    <t>TRANSITION</t>
  </si>
  <si>
    <t>Mark 16:1-3</t>
  </si>
  <si>
    <t>Matthew 28:2-8</t>
  </si>
  <si>
    <t>John 20:3-18</t>
  </si>
  <si>
    <t>Luke 24:13-49</t>
  </si>
  <si>
    <t>John 20:24-29</t>
  </si>
  <si>
    <t>John 21:1-19</t>
  </si>
  <si>
    <t>Matthew 28:16-20</t>
  </si>
  <si>
    <t>John 21:25a</t>
  </si>
  <si>
    <t>John 20:31</t>
  </si>
  <si>
    <t>Acts 1:1-11</t>
  </si>
  <si>
    <t>Acts 2:1-24,32-33,36-47</t>
  </si>
  <si>
    <t>Acts 3:1-20</t>
  </si>
  <si>
    <t>Acts 4:1-21,32-35</t>
  </si>
  <si>
    <t>Acts 5:12-42</t>
  </si>
  <si>
    <t>Acts 6:8-15</t>
  </si>
  <si>
    <t>Acts 7:1</t>
  </si>
  <si>
    <t>Acts 7:51-60</t>
  </si>
  <si>
    <t>Acts 8:1-8</t>
  </si>
  <si>
    <t>Acts 9:1-31</t>
  </si>
  <si>
    <t>Acts 10:1-28</t>
  </si>
  <si>
    <t xml:space="preserve">Acts 12:1-24  </t>
  </si>
  <si>
    <t>Acts 13:1-16, 27-33a, 38-39</t>
  </si>
  <si>
    <t>Acts 13:42-52</t>
  </si>
  <si>
    <t>Acts 14:1-18</t>
  </si>
  <si>
    <t>Acts 16:13-40</t>
  </si>
  <si>
    <t>Acts 17:1-10</t>
  </si>
  <si>
    <t>Acts 18:1-11</t>
  </si>
  <si>
    <t>1 Thessalonians 1:1-10</t>
  </si>
  <si>
    <t>1 Thessalonians 2:1-8,17-20</t>
  </si>
  <si>
    <t>1 Thessalonians 3:1-13</t>
  </si>
  <si>
    <t>1 Thessalonians 4:16-18</t>
  </si>
  <si>
    <t>1 Thessalonians 5:16-28</t>
  </si>
  <si>
    <t>Acts 18:12-28</t>
  </si>
  <si>
    <t>Acts 19:1a, 8-20,23-41</t>
  </si>
  <si>
    <t>Acts 20:1</t>
  </si>
  <si>
    <t>1 Corinthians 1:1-3, 10-13</t>
  </si>
  <si>
    <t>1 Corinthians 3:1-11, 21-23</t>
  </si>
  <si>
    <t>1 Corinthians 5:9-13a</t>
  </si>
  <si>
    <t>1 Corinthians 6:18-20</t>
  </si>
  <si>
    <t>1 Corinthians 10:14-21</t>
  </si>
  <si>
    <t>1 Corinthians 12:1,4-6,12-18,27</t>
  </si>
  <si>
    <t>1 Corinthians 13:1-7</t>
  </si>
  <si>
    <t>1 Corinthians 15:1-25, 51-58</t>
  </si>
  <si>
    <t>1 Corinthians 16:19-24</t>
  </si>
  <si>
    <t>Galatians 1:1-9</t>
  </si>
  <si>
    <t>Galatians 3:1-5,10-11,23-28</t>
  </si>
  <si>
    <t>Galatians 5:1,13,19-26</t>
  </si>
  <si>
    <t>Galatians 6:18</t>
  </si>
  <si>
    <t>Romans 1:1-4,7,16-17</t>
  </si>
  <si>
    <t>Romans 3:19-28</t>
  </si>
  <si>
    <t>Romans 4:1-8</t>
  </si>
  <si>
    <t>Romans 5: 1-11</t>
  </si>
  <si>
    <t>Romans 6:23</t>
  </si>
  <si>
    <t>Romans 8:1-4,12-18, 28,31-39</t>
  </si>
  <si>
    <t>Romans 12:1-8,23b-29</t>
  </si>
  <si>
    <t>Romans 15:23b-33</t>
  </si>
  <si>
    <t>Acts 20:13-28</t>
  </si>
  <si>
    <t>Acts 20:36-38</t>
  </si>
  <si>
    <t>Acts 21:7-15</t>
  </si>
  <si>
    <t>Ephesians 1:1-10,16-23</t>
  </si>
  <si>
    <t>Ephesians 2:1-22</t>
  </si>
  <si>
    <t>Ephesians 3:14-21</t>
  </si>
  <si>
    <t>Ephesians 4:1-6</t>
  </si>
  <si>
    <t>Ephesians 5:21-33</t>
  </si>
  <si>
    <t>Ephesians 6:1-4,23-24</t>
  </si>
  <si>
    <t>2 Timothy 1:1-5,8-12; 2:1-9; 3:10-17; 4:6-13</t>
  </si>
  <si>
    <t>Revelation 1:1-20</t>
  </si>
  <si>
    <t>Revelation 2:1-7</t>
  </si>
  <si>
    <t>Revelation 3:1-6</t>
  </si>
  <si>
    <t>Revelation 3:14-22</t>
  </si>
  <si>
    <t>Revelation 19:5-16</t>
  </si>
  <si>
    <t>Revelation 20:11-15</t>
  </si>
  <si>
    <r>
      <t xml:space="preserve">TRANSITION: </t>
    </r>
    <r>
      <rPr>
        <sz val="11"/>
        <color theme="1"/>
        <rFont val="Arial Narrow"/>
        <family val="2"/>
      </rPr>
      <t>Recap Adam and Eve and set up the temptation</t>
    </r>
  </si>
  <si>
    <r>
      <t>TRANSITION:</t>
    </r>
    <r>
      <rPr>
        <sz val="11"/>
        <color theme="1"/>
        <rFont val="Arial Narrow"/>
        <family val="2"/>
      </rPr>
      <t xml:space="preserve"> Short transition explaining population</t>
    </r>
  </si>
  <si>
    <r>
      <t>TRANSITION:</t>
    </r>
    <r>
      <rPr>
        <sz val="11"/>
        <color theme="1"/>
        <rFont val="Arial Narrow"/>
        <family val="2"/>
      </rPr>
      <t xml:space="preserve"> Give a short transition of repopulation and intro Abram and Sarai</t>
    </r>
  </si>
  <si>
    <r>
      <t>TRANSITON:</t>
    </r>
    <r>
      <rPr>
        <sz val="11"/>
        <color theme="1"/>
        <rFont val="Arial Narrow"/>
        <family val="2"/>
      </rPr>
      <t xml:space="preserve"> Short transition involving Abraham rescuing Lot</t>
    </r>
  </si>
  <si>
    <r>
      <t>TRANSITON:</t>
    </r>
    <r>
      <rPr>
        <sz val="11"/>
        <color theme="1"/>
        <rFont val="Arial Narrow"/>
        <family val="2"/>
      </rPr>
      <t xml:space="preserve"> Short transition about Hagar</t>
    </r>
  </si>
  <si>
    <r>
      <t>TRANSITON:</t>
    </r>
    <r>
      <rPr>
        <sz val="11"/>
        <color theme="1"/>
        <rFont val="Arial Narrow"/>
        <family val="2"/>
      </rPr>
      <t xml:space="preserve"> Short transition: What will happen to Ishmael?</t>
    </r>
  </si>
  <si>
    <r>
      <t>TRANSTION:</t>
    </r>
    <r>
      <rPr>
        <sz val="11"/>
        <color theme="1"/>
        <rFont val="Arial Narrow"/>
        <family val="2"/>
      </rPr>
      <t xml:space="preserve">  Long transition that explains Abraham’s death and a quick run through Jacob’s life. (Include Jacob stealing Esau’s blessing, and his marriage of Rachel and Leah) Lead up to his return to Esau.</t>
    </r>
  </si>
  <si>
    <r>
      <t>TRANSITION:</t>
    </r>
    <r>
      <rPr>
        <sz val="11"/>
        <color theme="1"/>
        <rFont val="Arial Narrow"/>
        <family val="2"/>
      </rPr>
      <t xml:space="preserve"> Short transition into the story of Joseph.</t>
    </r>
  </si>
  <si>
    <r>
      <t>TRANSITION</t>
    </r>
    <r>
      <rPr>
        <sz val="11"/>
        <color theme="1"/>
        <rFont val="Arial Narrow"/>
        <family val="2"/>
      </rPr>
      <t>: Short transition explaining Joseph’s God given ability to interpret dreams.</t>
    </r>
  </si>
  <si>
    <r>
      <t>TRANSITION:</t>
    </r>
    <r>
      <rPr>
        <sz val="11"/>
        <color theme="1"/>
        <rFont val="Arial Narrow"/>
        <family val="2"/>
      </rPr>
      <t xml:space="preserve"> Short transition explaining Joseph’s interpretation of Pharaoh’s dream</t>
    </r>
  </si>
  <si>
    <r>
      <t>TRANSITION:</t>
    </r>
    <r>
      <rPr>
        <sz val="11"/>
        <color theme="1"/>
        <rFont val="Arial Narrow"/>
        <family val="2"/>
      </rPr>
      <t xml:space="preserve"> Short transition explaining the fulfillment of what Joseph said (Onset of the famine)</t>
    </r>
  </si>
  <si>
    <r>
      <t>TRANSITION:</t>
    </r>
    <r>
      <rPr>
        <sz val="11"/>
        <color theme="1"/>
        <rFont val="Arial Narrow"/>
        <family val="2"/>
      </rPr>
      <t xml:space="preserve"> Joseph’s plan</t>
    </r>
  </si>
  <si>
    <r>
      <t>TRANSITION:</t>
    </r>
    <r>
      <rPr>
        <sz val="11"/>
        <color theme="1"/>
        <rFont val="Arial Narrow"/>
        <family val="2"/>
      </rPr>
      <t xml:space="preserve"> Short transition telling of Jacob’s prophesying over his sons and his death</t>
    </r>
  </si>
  <si>
    <r>
      <t>TRANSITION:</t>
    </r>
    <r>
      <rPr>
        <sz val="11"/>
        <color theme="1"/>
        <rFont val="Arial Narrow"/>
        <family val="2"/>
      </rPr>
      <t xml:space="preserve"> Short transition: Moses and Pharaoh</t>
    </r>
  </si>
  <si>
    <r>
      <t>TRANSITION:</t>
    </r>
    <r>
      <rPr>
        <sz val="11"/>
        <color theme="1"/>
        <rFont val="Arial Narrow"/>
        <family val="2"/>
      </rPr>
      <t xml:space="preserve"> Long Transition. Explain the plagues and the hardness of Pharaoh’s heart.</t>
    </r>
  </si>
  <si>
    <r>
      <t>TRANSITION</t>
    </r>
    <r>
      <rPr>
        <sz val="11"/>
        <color theme="1"/>
        <rFont val="Arial Narrow"/>
        <family val="2"/>
      </rPr>
      <t>:  Short transition. Tell of the Lord bringing the Israelites out of Egypt. Transition into…</t>
    </r>
  </si>
  <si>
    <r>
      <t>T</t>
    </r>
    <r>
      <rPr>
        <u/>
        <sz val="11"/>
        <color theme="1"/>
        <rFont val="Arial Narrow"/>
        <family val="2"/>
      </rPr>
      <t xml:space="preserve">RANSITION: </t>
    </r>
    <r>
      <rPr>
        <sz val="11"/>
        <color theme="1"/>
        <rFont val="Arial Narrow"/>
        <family val="2"/>
      </rPr>
      <t>Short transition into the Israelites journey into the desert.  Focus on the faithfulness and glory that God showed to the Israelites</t>
    </r>
  </si>
  <si>
    <r>
      <t xml:space="preserve">TRANSITION:  </t>
    </r>
    <r>
      <rPr>
        <sz val="11"/>
        <color theme="1"/>
        <rFont val="Arial Narrow"/>
        <family val="2"/>
      </rPr>
      <t xml:space="preserve"> Short transition explaining manna</t>
    </r>
  </si>
  <si>
    <r>
      <t xml:space="preserve">TRANSITION:  </t>
    </r>
    <r>
      <rPr>
        <sz val="11"/>
        <color theme="1"/>
        <rFont val="Arial Narrow"/>
        <family val="2"/>
      </rPr>
      <t xml:space="preserve"> Short transition to the 10 commandments</t>
    </r>
  </si>
  <si>
    <r>
      <t xml:space="preserve">TRANSITION:  </t>
    </r>
    <r>
      <rPr>
        <sz val="11"/>
        <color theme="1"/>
        <rFont val="Arial Narrow"/>
        <family val="2"/>
      </rPr>
      <t xml:space="preserve"> Short transition about the book of the covenant</t>
    </r>
  </si>
  <si>
    <r>
      <t>TRANSITION:</t>
    </r>
    <r>
      <rPr>
        <sz val="11"/>
        <rFont val="Arial Narrow"/>
        <family val="2"/>
      </rPr>
      <t xml:space="preserve"> Short transition leading to the golden calf</t>
    </r>
  </si>
  <si>
    <r>
      <t>TRANSITION:</t>
    </r>
    <r>
      <rPr>
        <sz val="11"/>
        <color theme="1"/>
        <rFont val="Arial Narrow"/>
        <family val="2"/>
      </rPr>
      <t xml:space="preserve"> Long transition explaining the construction of the ark and the tabernacle.  Include the setting up of the tabernacle and lead into the glory of God filling the tabernacle.</t>
    </r>
  </si>
  <si>
    <r>
      <t xml:space="preserve">TRANSITION: </t>
    </r>
    <r>
      <rPr>
        <sz val="11"/>
        <color theme="1"/>
        <rFont val="Arial Narrow"/>
        <family val="2"/>
      </rPr>
      <t>Long transition explaining that the Israelites stayed in the desert receiving instructions about the law (briefly explain sacrificial system) and then transition into God leading them onward</t>
    </r>
  </si>
  <si>
    <r>
      <t>TRANSITION:</t>
    </r>
    <r>
      <rPr>
        <sz val="11"/>
        <color theme="1"/>
        <rFont val="Arial Narrow"/>
        <family val="2"/>
      </rPr>
      <t xml:space="preserve"> Short Transition: organization of camp, marching</t>
    </r>
  </si>
  <si>
    <r>
      <t xml:space="preserve">TRANSITION: </t>
    </r>
    <r>
      <rPr>
        <sz val="11"/>
        <rFont val="Arial Narrow"/>
        <family val="2"/>
      </rPr>
      <t>Transition to story of Miriam and Aaron</t>
    </r>
  </si>
  <si>
    <r>
      <t xml:space="preserve">TRANSITION: </t>
    </r>
    <r>
      <rPr>
        <sz val="11"/>
        <color theme="1"/>
        <rFont val="Arial Narrow"/>
        <family val="2"/>
      </rPr>
      <t>Transition to set up the new generation</t>
    </r>
  </si>
  <si>
    <r>
      <t>TRANSITION</t>
    </r>
    <r>
      <rPr>
        <sz val="11"/>
        <color theme="1"/>
        <rFont val="Arial Narrow"/>
        <family val="2"/>
      </rPr>
      <t>: Short transition making it clear that Moses disobeyed, by striking the rock in his great anger and the march near the kingdom of Edom</t>
    </r>
  </si>
  <si>
    <r>
      <t>TRANSITION:</t>
    </r>
    <r>
      <rPr>
        <sz val="11"/>
        <color theme="1"/>
        <rFont val="Arial Narrow"/>
        <family val="2"/>
      </rPr>
      <t xml:space="preserve"> Explain that the Israelites kept wandering as a punishment for their sin, lead into story of Defeating the Kings</t>
    </r>
  </si>
  <si>
    <r>
      <t xml:space="preserve">TRANSITION: </t>
    </r>
    <r>
      <rPr>
        <sz val="11"/>
        <color theme="1"/>
        <rFont val="Arial Narrow"/>
        <family val="2"/>
      </rPr>
      <t>Long transition explaining that Israel continues to wander, tell story of Balaam and his donkey, transition into Israel in Shittim.</t>
    </r>
  </si>
  <si>
    <r>
      <t xml:space="preserve">TRANSITION: </t>
    </r>
    <r>
      <rPr>
        <sz val="11"/>
        <color theme="1"/>
        <rFont val="Arial Narrow"/>
        <family val="2"/>
      </rPr>
      <t>Short Transition explaining that some time passed, and the people are about to enter the land</t>
    </r>
  </si>
  <si>
    <r>
      <t xml:space="preserve">TRANSITION: </t>
    </r>
    <r>
      <rPr>
        <sz val="11"/>
        <color theme="1"/>
        <rFont val="Arial Narrow"/>
        <family val="2"/>
      </rPr>
      <t>Short Transition into Moses’ farewell</t>
    </r>
  </si>
  <si>
    <r>
      <t>TRANSITION:</t>
    </r>
    <r>
      <rPr>
        <sz val="11"/>
        <color theme="1"/>
        <rFont val="Arial Narrow"/>
        <family val="2"/>
      </rPr>
      <t xml:space="preserve"> Short transition into the prayer of Moses.</t>
    </r>
  </si>
  <si>
    <r>
      <t>TRANSITION:</t>
    </r>
    <r>
      <rPr>
        <sz val="11"/>
        <color theme="1"/>
        <rFont val="Arial Narrow"/>
        <family val="2"/>
      </rPr>
      <t xml:space="preserve"> Short transition into the battle</t>
    </r>
  </si>
  <si>
    <r>
      <t>TRANSITION:</t>
    </r>
    <r>
      <rPr>
        <sz val="11"/>
        <color theme="1"/>
        <rFont val="Arial Narrow"/>
        <family val="2"/>
      </rPr>
      <t xml:space="preserve"> Short transition Achan’s sin.</t>
    </r>
  </si>
  <si>
    <r>
      <t>TRANSITION:</t>
    </r>
    <r>
      <rPr>
        <sz val="11"/>
        <color theme="1"/>
        <rFont val="Arial Narrow"/>
        <family val="2"/>
      </rPr>
      <t xml:space="preserve"> Short transition Gibeonites’ deception.</t>
    </r>
  </si>
  <si>
    <r>
      <t>TRANSITION:</t>
    </r>
    <r>
      <rPr>
        <sz val="11"/>
        <color theme="1"/>
        <rFont val="Arial Narrow"/>
        <family val="2"/>
      </rPr>
      <t xml:space="preserve"> Short transition explaining that the Israelites conquered many kings and divided up the land.</t>
    </r>
  </si>
  <si>
    <r>
      <t>TRANSITION:</t>
    </r>
    <r>
      <rPr>
        <sz val="11"/>
        <color theme="1"/>
        <rFont val="Arial Narrow"/>
        <family val="2"/>
      </rPr>
      <t xml:space="preserve"> Short transition Ehud, Eglon and Deborah</t>
    </r>
  </si>
  <si>
    <r>
      <t>TRANSITION:</t>
    </r>
    <r>
      <rPr>
        <sz val="11"/>
        <color theme="1"/>
        <rFont val="Arial Narrow"/>
        <family val="2"/>
      </rPr>
      <t xml:space="preserve"> Short transition telling of Israel’s constant turning away, and God’s raising up many judges.  Transition into story of Gideon</t>
    </r>
  </si>
  <si>
    <r>
      <t>TRANSITION</t>
    </r>
    <r>
      <rPr>
        <sz val="11"/>
        <color theme="1"/>
        <rFont val="Arial Narrow"/>
        <family val="2"/>
      </rPr>
      <t>: Short transition into God appearing to Gideon</t>
    </r>
  </si>
  <si>
    <r>
      <t>TRANSITION:</t>
    </r>
    <r>
      <rPr>
        <sz val="11"/>
        <color theme="1"/>
        <rFont val="Arial Narrow"/>
        <family val="2"/>
      </rPr>
      <t xml:space="preserve"> Short transition explaining that Israel continued in their disobedience, and God continued to raise up judges. Transition into story of Samson</t>
    </r>
  </si>
  <si>
    <r>
      <t>TRANSITION</t>
    </r>
    <r>
      <rPr>
        <sz val="11"/>
        <color theme="1"/>
        <rFont val="Arial Narrow"/>
        <family val="2"/>
      </rPr>
      <t>: Short transition into the birth of Samson</t>
    </r>
  </si>
  <si>
    <r>
      <t>TRANSITION:</t>
    </r>
    <r>
      <rPr>
        <sz val="11"/>
        <color theme="1"/>
        <rFont val="Arial Narrow"/>
        <family val="2"/>
      </rPr>
      <t xml:space="preserve"> Long transition into the story of Ruth</t>
    </r>
  </si>
  <si>
    <r>
      <t>TRANSITION:</t>
    </r>
    <r>
      <rPr>
        <sz val="11"/>
        <color theme="1"/>
        <rFont val="Arial Narrow"/>
        <family val="2"/>
      </rPr>
      <t xml:space="preserve"> Short transition to the birth of Samuel</t>
    </r>
  </si>
  <si>
    <r>
      <t>TRANSITION:</t>
    </r>
    <r>
      <rPr>
        <sz val="11"/>
        <color theme="1"/>
        <rFont val="Arial Narrow"/>
        <family val="2"/>
      </rPr>
      <t xml:space="preserve"> Long transition explaining that the ark caused the god Dagon to break down, and tumors to break out amongst the Philistines so they returned in to the Israelites who gave it to Eleazar to keep guard it in his house on the hill. Explain Samuels delivering them from the Philistines. Transition into…</t>
    </r>
  </si>
  <si>
    <r>
      <t>TRANSITION:</t>
    </r>
    <r>
      <rPr>
        <sz val="11"/>
        <color theme="1"/>
        <rFont val="Arial Narrow"/>
        <family val="2"/>
      </rPr>
      <t xml:space="preserve"> Possible short transition explaining that some time has past with Saul as king.</t>
    </r>
  </si>
  <si>
    <r>
      <t>TRANSITION:</t>
    </r>
    <r>
      <rPr>
        <sz val="11"/>
        <color theme="1"/>
        <rFont val="Arial Narrow"/>
        <family val="2"/>
      </rPr>
      <t xml:space="preserve"> Short transition explaining that Saul disobeyed God.</t>
    </r>
  </si>
  <si>
    <r>
      <t>TRANSITION:</t>
    </r>
    <r>
      <rPr>
        <sz val="11"/>
        <color theme="1"/>
        <rFont val="Arial Narrow"/>
        <family val="2"/>
      </rPr>
      <t xml:space="preserve"> Short transition explaining the Lord rejecting Saul as King for his disobedience.</t>
    </r>
  </si>
  <si>
    <r>
      <t>TRANSITION:</t>
    </r>
    <r>
      <rPr>
        <sz val="11"/>
        <color theme="1"/>
        <rFont val="Arial Narrow"/>
        <family val="2"/>
      </rPr>
      <t xml:space="preserve"> Short transition back to the story of David</t>
    </r>
  </si>
  <si>
    <r>
      <t>TRANSITION:</t>
    </r>
    <r>
      <rPr>
        <sz val="11"/>
        <color theme="1"/>
        <rFont val="Arial Narrow"/>
        <family val="2"/>
      </rPr>
      <t xml:space="preserve"> Long transition explaining Saul’s jealousy of David, and his pursuit of David</t>
    </r>
  </si>
  <si>
    <r>
      <t>TRANSITION:</t>
    </r>
    <r>
      <rPr>
        <sz val="11"/>
        <color theme="1"/>
        <rFont val="Arial Narrow"/>
        <family val="2"/>
      </rPr>
      <t xml:space="preserve"> Short transition into the story of David sparing Saul.</t>
    </r>
  </si>
  <si>
    <r>
      <t>TRANSITION:</t>
    </r>
    <r>
      <rPr>
        <sz val="11"/>
        <color theme="1"/>
        <rFont val="Arial Narrow"/>
        <family val="2"/>
      </rPr>
      <t xml:space="preserve"> Short transition about the death of Saul.</t>
    </r>
  </si>
  <si>
    <r>
      <t>TRANSITION:</t>
    </r>
    <r>
      <rPr>
        <sz val="11"/>
        <color theme="1"/>
        <rFont val="Arial Narrow"/>
        <family val="2"/>
      </rPr>
      <t xml:space="preserve"> Long transition explaining that David was anointed King over Judah and Jerusalem, and defeated the Philistines. Remind readers that the ark was placed in Abinadab’s house on the hill. Tell of David’s passion to bring the ark back to Israel.</t>
    </r>
  </si>
  <si>
    <r>
      <t>TRANSITION:</t>
    </r>
    <r>
      <rPr>
        <sz val="11"/>
        <color theme="1"/>
        <rFont val="Arial Narrow"/>
        <family val="2"/>
      </rPr>
      <t xml:space="preserve"> Short transition regarding Michal</t>
    </r>
  </si>
  <si>
    <r>
      <t>TRANSITION:</t>
    </r>
    <r>
      <rPr>
        <sz val="11"/>
        <color theme="1"/>
        <rFont val="Arial Narrow"/>
        <family val="2"/>
      </rPr>
      <t xml:space="preserve"> Short transition about the temple</t>
    </r>
  </si>
  <si>
    <r>
      <t>TRANSITION:</t>
    </r>
    <r>
      <rPr>
        <sz val="11"/>
        <color theme="1"/>
        <rFont val="Arial Narrow"/>
        <family val="2"/>
      </rPr>
      <t xml:space="preserve"> Long Transition explaining David’s victories (explain that David used to go out to battle with the armies).  Explain that David was a man after God’s own heart and God blessed him. Transition into story of David and Bathsheba.   </t>
    </r>
  </si>
  <si>
    <r>
      <t>TRANSITION</t>
    </r>
    <r>
      <rPr>
        <sz val="11"/>
        <color theme="1"/>
        <rFont val="Arial Narrow"/>
        <family val="2"/>
      </rPr>
      <t>: Short transition</t>
    </r>
  </si>
  <si>
    <r>
      <t>TRANSITION</t>
    </r>
    <r>
      <rPr>
        <sz val="11"/>
        <color theme="1"/>
        <rFont val="Arial Narrow"/>
        <family val="2"/>
      </rPr>
      <t>: Short transition back into the story</t>
    </r>
  </si>
  <si>
    <r>
      <t>TRANSITION:</t>
    </r>
    <r>
      <rPr>
        <sz val="11"/>
        <color theme="1"/>
        <rFont val="Arial Narrow"/>
        <family val="2"/>
      </rPr>
      <t xml:space="preserve"> Long Transition explaining that although the Lord graciously forgave David, great calamity came upon David due to his sin (as Nathan said), Absalom violating David’s wives, his rebellion lead up to story of David fighting against Absalom, introduce the character of Joab.</t>
    </r>
  </si>
  <si>
    <r>
      <t>TRANSITION:</t>
    </r>
    <r>
      <rPr>
        <sz val="11"/>
        <color theme="1"/>
        <rFont val="Arial Narrow"/>
        <family val="2"/>
      </rPr>
      <t xml:space="preserve"> Short transition explaining that David crushed the rebellion and reigned again as king, transition to David’s praise and David’s orders to prepare the temple (time has passed)</t>
    </r>
  </si>
  <si>
    <r>
      <t>TRANSITION:</t>
    </r>
    <r>
      <rPr>
        <sz val="11"/>
        <color theme="1"/>
        <rFont val="Arial Narrow"/>
        <family val="2"/>
      </rPr>
      <t xml:space="preserve"> Short transition into the Psalms of David</t>
    </r>
  </si>
  <si>
    <r>
      <t>TRANSITION:</t>
    </r>
    <r>
      <rPr>
        <sz val="11"/>
        <color theme="1"/>
        <rFont val="Arial Narrow"/>
        <family val="2"/>
      </rPr>
      <t xml:space="preserve"> Short transition to the end of David’s life</t>
    </r>
  </si>
  <si>
    <r>
      <t>TRANSITION:</t>
    </r>
    <r>
      <rPr>
        <sz val="11"/>
        <color theme="1"/>
        <rFont val="Arial Narrow"/>
        <family val="2"/>
      </rPr>
      <t xml:space="preserve"> Short transition into Proverbs.</t>
    </r>
  </si>
  <si>
    <r>
      <t>TRANSITION:</t>
    </r>
    <r>
      <rPr>
        <sz val="11"/>
        <color theme="1"/>
        <rFont val="Arial Narrow"/>
        <family val="2"/>
      </rPr>
      <t xml:space="preserve"> Short transition back into Solomon’s life.</t>
    </r>
  </si>
  <si>
    <r>
      <t>TRANSITION:</t>
    </r>
    <r>
      <rPr>
        <sz val="11"/>
        <color theme="1"/>
        <rFont val="Arial Narrow"/>
        <family val="2"/>
      </rPr>
      <t xml:space="preserve"> Long Transition?  Explaining the construction of the temple (and the palace) transition into Solomon bringing the ark into the temple.</t>
    </r>
  </si>
  <si>
    <r>
      <t>TRANSITION:</t>
    </r>
    <r>
      <rPr>
        <sz val="11"/>
        <color theme="1"/>
        <rFont val="Arial Narrow"/>
        <family val="2"/>
      </rPr>
      <t xml:space="preserve"> Short transition telling of Solomon’s other activities, his great riches and transition into the story of the queen of Sheba</t>
    </r>
  </si>
  <si>
    <r>
      <t>TRANSITION:</t>
    </r>
    <r>
      <rPr>
        <sz val="11"/>
        <color theme="1"/>
        <rFont val="Arial Narrow"/>
        <family val="2"/>
      </rPr>
      <t xml:space="preserve"> Short transition</t>
    </r>
  </si>
  <si>
    <r>
      <t>TRANSITION:</t>
    </r>
    <r>
      <rPr>
        <sz val="11"/>
        <color theme="1"/>
        <rFont val="Arial Narrow"/>
        <family val="2"/>
      </rPr>
      <t xml:space="preserve"> Short transition about Rehoboam and Jeroboam</t>
    </r>
  </si>
  <si>
    <r>
      <t>TRANSITION:</t>
    </r>
    <r>
      <rPr>
        <sz val="11"/>
        <color theme="1"/>
        <rFont val="Arial Narrow"/>
        <family val="2"/>
      </rPr>
      <t xml:space="preserve"> Short transition about the division of the kingdom</t>
    </r>
  </si>
  <si>
    <r>
      <t>TRANSITION:</t>
    </r>
    <r>
      <rPr>
        <sz val="11"/>
        <color theme="1"/>
        <rFont val="Arial Narrow"/>
        <family val="2"/>
      </rPr>
      <t xml:space="preserve"> Long transition telling of the Kings of Israel and Judah (up to King Ahab).  Introduce Elijah, transition into story of Elijah.</t>
    </r>
  </si>
  <si>
    <r>
      <t>TRANSITION:</t>
    </r>
    <r>
      <rPr>
        <sz val="11"/>
        <color theme="1"/>
        <rFont val="Arial Narrow"/>
        <family val="2"/>
      </rPr>
      <t xml:space="preserve"> Short transition telling how Ahab and Jezebel decide to keep fighting.  </t>
    </r>
  </si>
  <si>
    <r>
      <t>TRANSITION:</t>
    </r>
    <r>
      <rPr>
        <sz val="11"/>
        <color theme="1"/>
        <rFont val="Arial Narrow"/>
        <family val="2"/>
      </rPr>
      <t xml:space="preserve"> Short transition telling of Ahab’s reign and list of Kings until the ministry of Elisha, transition into the death of Elijah</t>
    </r>
  </si>
  <si>
    <r>
      <t>TRANSITION:</t>
    </r>
    <r>
      <rPr>
        <sz val="11"/>
        <color theme="1"/>
        <rFont val="Arial Narrow"/>
        <family val="2"/>
      </rPr>
      <t xml:space="preserve"> Short Transition telling of the Shunammite woman.  </t>
    </r>
  </si>
  <si>
    <r>
      <t>TRANSITION</t>
    </r>
    <r>
      <rPr>
        <sz val="11"/>
        <color theme="1"/>
        <rFont val="Arial Narrow"/>
        <family val="2"/>
      </rPr>
      <t>: Short transition of the child dying</t>
    </r>
  </si>
  <si>
    <r>
      <t>TRANSITION:</t>
    </r>
    <r>
      <rPr>
        <sz val="11"/>
        <color theme="1"/>
        <rFont val="Arial Narrow"/>
        <family val="2"/>
      </rPr>
      <t xml:space="preserve"> Short transition to the story of Elisha trapping the blinded Arameans</t>
    </r>
  </si>
  <si>
    <r>
      <t>TRANSITION:</t>
    </r>
    <r>
      <rPr>
        <sz val="11"/>
        <color theme="1"/>
        <rFont val="Arial Narrow"/>
        <family val="2"/>
      </rPr>
      <t xml:space="preserve"> Short Transition into the message of Hosea</t>
    </r>
  </si>
  <si>
    <r>
      <t>TRANSITION:</t>
    </r>
    <r>
      <rPr>
        <sz val="11"/>
        <color theme="1"/>
        <rFont val="Arial Narrow"/>
        <family val="2"/>
      </rPr>
      <t xml:space="preserve">  Short transition: explain that Israel did not repent, and tell of the Kings of Israel and their continued sin and transition into the fall and exile of Israel.</t>
    </r>
  </si>
  <si>
    <r>
      <t>TRANSITION:</t>
    </r>
    <r>
      <rPr>
        <sz val="11"/>
        <color theme="1"/>
        <rFont val="Arial Narrow"/>
        <family val="2"/>
      </rPr>
      <t xml:space="preserve"> Short transition into the story of Hezekiah, King of Judah.</t>
    </r>
  </si>
  <si>
    <r>
      <t>TRANSITION:</t>
    </r>
    <r>
      <rPr>
        <sz val="11"/>
        <color theme="1"/>
        <rFont val="Arial Narrow"/>
        <family val="2"/>
      </rPr>
      <t xml:space="preserve"> Short transition summing up Sennacherib and Hezekiah.</t>
    </r>
  </si>
  <si>
    <r>
      <t>TRANSITION:</t>
    </r>
    <r>
      <rPr>
        <sz val="11"/>
        <color theme="1"/>
        <rFont val="Arial Narrow"/>
        <family val="2"/>
      </rPr>
      <t xml:space="preserve"> Short transition into the life and message of Isaiah the prophet</t>
    </r>
  </si>
  <si>
    <r>
      <t>TRANSITION:</t>
    </r>
    <r>
      <rPr>
        <sz val="11"/>
        <color theme="1"/>
        <rFont val="Arial Narrow"/>
        <family val="2"/>
      </rPr>
      <t xml:space="preserve"> Short transition into the message of Isaiah. (explain that these things would happen in the future)</t>
    </r>
  </si>
  <si>
    <r>
      <t>TRANSITION:</t>
    </r>
    <r>
      <rPr>
        <sz val="11"/>
        <color theme="1"/>
        <rFont val="Arial Narrow"/>
        <family val="2"/>
      </rPr>
      <t xml:space="preserve"> Short transition explaining that God will have mercy on Israel and bring them back from Babylonian captivity.</t>
    </r>
  </si>
  <si>
    <r>
      <t xml:space="preserve">TRANSITION: </t>
    </r>
    <r>
      <rPr>
        <sz val="11"/>
        <color theme="1"/>
        <rFont val="Arial Narrow"/>
        <family val="2"/>
      </rPr>
      <t>The future Messiah</t>
    </r>
  </si>
  <si>
    <r>
      <t>TRANSITION:</t>
    </r>
    <r>
      <rPr>
        <sz val="11"/>
        <color theme="1"/>
        <rFont val="Arial Narrow"/>
        <family val="2"/>
      </rPr>
      <t xml:space="preserve"> Short transition into the story of Manasseh King of Judah (son of Hezekiah)</t>
    </r>
  </si>
  <si>
    <r>
      <t>TRANSITION</t>
    </r>
    <r>
      <rPr>
        <sz val="11"/>
        <color theme="1"/>
        <rFont val="Arial Narrow"/>
        <family val="2"/>
      </rPr>
      <t>: Short transition to Amon</t>
    </r>
  </si>
  <si>
    <r>
      <t>TRANSITION</t>
    </r>
    <r>
      <rPr>
        <sz val="11"/>
        <color theme="1"/>
        <rFont val="Arial Narrow"/>
        <family val="2"/>
      </rPr>
      <t>: Long transition explaining the rest of the Kings of Judah, tell of Josiah burning bones on the altar at Bethel (in keeping with the Prophesy).  Lead up to story of Jehoiakim and the exile of the Jews.</t>
    </r>
  </si>
  <si>
    <r>
      <t>TRANSITION:</t>
    </r>
    <r>
      <rPr>
        <sz val="11"/>
        <color theme="1"/>
        <rFont val="Arial Narrow"/>
        <family val="2"/>
      </rPr>
      <t xml:space="preserve"> Short transition explaining that while the Israelites were in exile God called up one of them to be a prophet (Ezekiel)</t>
    </r>
  </si>
  <si>
    <r>
      <t>TRANSITION:</t>
    </r>
    <r>
      <rPr>
        <sz val="11"/>
        <color theme="1"/>
        <rFont val="Arial Narrow"/>
        <family val="2"/>
      </rPr>
      <t xml:space="preserve"> Short transition summing up the exile of the Jews, and tell of Zedekiah becoming king (an evil king), introduce Jeremiah and transition into the life and message of Jeremiah.</t>
    </r>
  </si>
  <si>
    <r>
      <t>TRANSITION:</t>
    </r>
    <r>
      <rPr>
        <sz val="11"/>
        <color theme="1"/>
        <rFont val="Arial Narrow"/>
        <family val="2"/>
      </rPr>
      <t xml:space="preserve"> Short transition about Jeremiah as prophet.  </t>
    </r>
  </si>
  <si>
    <r>
      <t>TRANSITION:</t>
    </r>
    <r>
      <rPr>
        <sz val="11"/>
        <color theme="1"/>
        <rFont val="Arial Narrow"/>
        <family val="2"/>
      </rPr>
      <t xml:space="preserve"> Short transition explaining that King Zedekiah did not listen to the warnings of Jeremiah.</t>
    </r>
  </si>
  <si>
    <r>
      <t>TRANSITION:</t>
    </r>
    <r>
      <rPr>
        <sz val="11"/>
        <color theme="1"/>
        <rFont val="Arial Narrow"/>
        <family val="2"/>
      </rPr>
      <t xml:space="preserve"> Short transition into the conversation between Jeremiah and Zedekiah.</t>
    </r>
  </si>
  <si>
    <r>
      <t>TRANSITION:</t>
    </r>
    <r>
      <rPr>
        <sz val="11"/>
        <color theme="1"/>
        <rFont val="Arial Narrow"/>
        <family val="2"/>
      </rPr>
      <t xml:space="preserve"> Short transition explaining that God promised Jeremiah that he would be spared from exile because he trusted in God, and explain that Jeremiah was set free and allowed to go where he wanted to. Transition into Jeremiah’s lamentations.</t>
    </r>
  </si>
  <si>
    <r>
      <t>TRANSITION</t>
    </r>
    <r>
      <rPr>
        <sz val="11"/>
        <color theme="1"/>
        <rFont val="Arial Narrow"/>
        <family val="2"/>
      </rPr>
      <t>: Short transition explaining that although Ezekiel prophesied God’s wrath on the people (Jerusalem’s destruction) he also told that God would rescue his people from exile and pour mercy out upon them.  Transition to God’s message of future mercy on Israel.</t>
    </r>
  </si>
  <si>
    <r>
      <t>TRANSITION:</t>
    </r>
    <r>
      <rPr>
        <sz val="11"/>
        <color theme="1"/>
        <rFont val="Arial Narrow"/>
        <family val="2"/>
      </rPr>
      <t xml:space="preserve"> Short transition into the story of Daniel.</t>
    </r>
  </si>
  <si>
    <r>
      <t>TRANSTION:</t>
    </r>
    <r>
      <rPr>
        <sz val="11"/>
        <color theme="1"/>
        <rFont val="Arial Narrow"/>
        <family val="2"/>
      </rPr>
      <t xml:space="preserve"> Long transition telling of Daniel’s interpretation of the dream</t>
    </r>
  </si>
  <si>
    <r>
      <t>TRANSITION:</t>
    </r>
    <r>
      <rPr>
        <sz val="11"/>
        <color theme="1"/>
        <rFont val="Arial Narrow"/>
        <family val="2"/>
      </rPr>
      <t xml:space="preserve"> Short transition into the story of the fiery furnace.</t>
    </r>
  </si>
  <si>
    <r>
      <t>TRANSITION:</t>
    </r>
    <r>
      <rPr>
        <sz val="11"/>
        <color theme="1"/>
        <rFont val="Arial Narrow"/>
        <family val="2"/>
      </rPr>
      <t xml:space="preserve"> Long transition telling of king Nebuchadnezzar losing his mind, Belshazzar’s feast and death, and Darius becoming king.</t>
    </r>
  </si>
  <si>
    <r>
      <t>TRANSITION:</t>
    </r>
    <r>
      <rPr>
        <sz val="11"/>
        <color theme="1"/>
        <rFont val="Arial Narrow"/>
        <family val="2"/>
      </rPr>
      <t xml:space="preserve"> Short transition about Jeremiah’s declaration of restoration.</t>
    </r>
  </si>
  <si>
    <r>
      <t>TRANSITION:</t>
    </r>
    <r>
      <rPr>
        <sz val="11"/>
        <color theme="1"/>
        <rFont val="Arial Narrow"/>
        <family val="2"/>
      </rPr>
      <t xml:space="preserve"> Short transition about the people going home.</t>
    </r>
  </si>
  <si>
    <r>
      <t>TRANSITION:</t>
    </r>
    <r>
      <rPr>
        <sz val="11"/>
        <color theme="1"/>
        <rFont val="Arial Narrow"/>
        <family val="2"/>
      </rPr>
      <t xml:space="preserve"> Short transition telling of how many Jews returned to Judah and Jerusalem, each to his own town.</t>
    </r>
  </si>
  <si>
    <r>
      <t>TRANSITION:</t>
    </r>
    <r>
      <rPr>
        <sz val="11"/>
        <color theme="1"/>
        <rFont val="Arial Narrow"/>
        <family val="2"/>
      </rPr>
      <t xml:space="preserve"> Short transition into the message of Haggai</t>
    </r>
  </si>
  <si>
    <r>
      <t>TRANSITION:</t>
    </r>
    <r>
      <rPr>
        <sz val="11"/>
        <color theme="1"/>
        <rFont val="Arial Narrow"/>
        <family val="2"/>
      </rPr>
      <t xml:space="preserve"> Short transition into the second portion of Haggai’s message</t>
    </r>
  </si>
  <si>
    <r>
      <t>TRANSITION:</t>
    </r>
    <r>
      <rPr>
        <sz val="11"/>
        <color theme="1"/>
        <rFont val="Arial Narrow"/>
        <family val="2"/>
      </rPr>
      <t xml:space="preserve"> Short transition into the message of Zechariah</t>
    </r>
  </si>
  <si>
    <r>
      <t>TRANSITION:</t>
    </r>
    <r>
      <rPr>
        <sz val="11"/>
        <color theme="1"/>
        <rFont val="Arial Narrow"/>
        <family val="2"/>
      </rPr>
      <t xml:space="preserve"> Short transition back into the story of the rebuilding of the temple</t>
    </r>
  </si>
  <si>
    <r>
      <t>TRANSITION:</t>
    </r>
    <r>
      <rPr>
        <sz val="11"/>
        <color theme="1"/>
        <rFont val="Arial Narrow"/>
        <family val="2"/>
      </rPr>
      <t xml:space="preserve"> Short transition into the story of Esther</t>
    </r>
  </si>
  <si>
    <r>
      <t>TRANSITION</t>
    </r>
    <r>
      <rPr>
        <sz val="11"/>
        <color theme="1"/>
        <rFont val="Arial Narrow"/>
        <family val="2"/>
      </rPr>
      <t>:</t>
    </r>
  </si>
  <si>
    <r>
      <t>TRANSITION:</t>
    </r>
    <r>
      <rPr>
        <sz val="11"/>
        <color theme="1"/>
        <rFont val="Arial Narrow"/>
        <family val="2"/>
      </rPr>
      <t xml:space="preserve"> Long transition into the story of Ezra leading the exiles home.</t>
    </r>
  </si>
  <si>
    <r>
      <t>TRANSITION:</t>
    </r>
    <r>
      <rPr>
        <sz val="11"/>
        <color theme="1"/>
        <rFont val="Arial Narrow"/>
        <family val="2"/>
      </rPr>
      <t xml:space="preserve"> Long transition explaining Ezra leading the people home, their fall into the sin of intermarriage, their repentance, the broken wall of Jerusalem, introduce Nehemiah and transition into the story of Nehemiah. (explain that he is cupbearer to the king)</t>
    </r>
  </si>
  <si>
    <r>
      <t>TRANSITION:</t>
    </r>
    <r>
      <rPr>
        <sz val="11"/>
        <color theme="1"/>
        <rFont val="Arial Narrow"/>
        <family val="2"/>
      </rPr>
      <t xml:space="preserve"> Short transition explaining that God answered Nehemiah’s prayer and he was granted by the king to go rebuild the wall.</t>
    </r>
  </si>
  <si>
    <r>
      <t>TRANSITION:</t>
    </r>
    <r>
      <rPr>
        <sz val="11"/>
        <color theme="1"/>
        <rFont val="Arial Narrow"/>
        <family val="2"/>
      </rPr>
      <t xml:space="preserve"> Short transition explaining that they began building the wall</t>
    </r>
  </si>
  <si>
    <r>
      <t>TRANSITION:</t>
    </r>
    <r>
      <rPr>
        <sz val="11"/>
        <color theme="1"/>
        <rFont val="Arial Narrow"/>
        <family val="2"/>
      </rPr>
      <t xml:space="preserve"> Short transition about Nehemiah.</t>
    </r>
  </si>
  <si>
    <r>
      <t>TRANSITION:</t>
    </r>
    <r>
      <rPr>
        <sz val="11"/>
        <color theme="1"/>
        <rFont val="Arial Narrow"/>
        <family val="2"/>
      </rPr>
      <t xml:space="preserve"> Short transition about the system of worship</t>
    </r>
  </si>
  <si>
    <r>
      <t>TRANSITION:</t>
    </r>
    <r>
      <rPr>
        <sz val="11"/>
        <color theme="1"/>
        <rFont val="Arial Narrow"/>
        <family val="2"/>
      </rPr>
      <t xml:space="preserve"> Short transition, tell that times of prosperity had come, but the people turned once again to sin (evil priests and intermarriage), transition into the message of Malachi.</t>
    </r>
  </si>
  <si>
    <r>
      <t>TRANSITION</t>
    </r>
    <r>
      <rPr>
        <sz val="11"/>
        <color theme="1"/>
        <rFont val="Arial Narrow"/>
        <family val="2"/>
      </rPr>
      <t>: Intertestamental</t>
    </r>
  </si>
  <si>
    <r>
      <t>TRANSITION:</t>
    </r>
    <r>
      <rPr>
        <sz val="11"/>
        <color theme="1"/>
        <rFont val="Arial Narrow"/>
        <family val="2"/>
      </rPr>
      <t xml:space="preserve"> Transition explaining that Joseph and his fiancée were virgins and yet she became pregnant…transition into…</t>
    </r>
  </si>
  <si>
    <r>
      <t>TRANSITION</t>
    </r>
    <r>
      <rPr>
        <sz val="11"/>
        <color theme="1"/>
        <rFont val="Arial Narrow"/>
        <family val="2"/>
      </rPr>
      <t>: Jesus presented in the temple</t>
    </r>
  </si>
  <si>
    <r>
      <t>TRANSITION:</t>
    </r>
    <r>
      <rPr>
        <sz val="11"/>
        <color theme="1"/>
        <rFont val="Arial Narrow"/>
        <family val="2"/>
      </rPr>
      <t xml:space="preserve"> Short transition into the intro to the ministry of Jesus</t>
    </r>
  </si>
  <si>
    <r>
      <t>TRANSITION:</t>
    </r>
    <r>
      <rPr>
        <sz val="11"/>
        <color theme="1"/>
        <rFont val="Arial Narrow"/>
        <family val="2"/>
      </rPr>
      <t xml:space="preserve"> Short Transition into the beginning of the ministry of Jesus. (Introduce John)</t>
    </r>
  </si>
  <si>
    <r>
      <t xml:space="preserve">TRANSITION: </t>
    </r>
    <r>
      <rPr>
        <sz val="11"/>
        <color theme="1"/>
        <rFont val="Arial Narrow"/>
        <family val="2"/>
      </rPr>
      <t>Short transition</t>
    </r>
  </si>
  <si>
    <r>
      <t>TRANSITION:</t>
    </r>
    <r>
      <rPr>
        <sz val="11"/>
        <color theme="1"/>
        <rFont val="Arial Narrow"/>
        <family val="2"/>
      </rPr>
      <t xml:space="preserve"> Short transition explaining that Jesus went up to Jerusalem for Passover and that the Pharisees heard that Jesus was gaining many disciples</t>
    </r>
  </si>
  <si>
    <r>
      <t>TRANSITION:</t>
    </r>
    <r>
      <rPr>
        <sz val="11"/>
        <color theme="1"/>
        <rFont val="Arial Narrow"/>
        <family val="2"/>
      </rPr>
      <t xml:space="preserve"> Short transition explaining that Jesus was about to head back to Galilee through Samaria, explain how Samaritans and Jews hated each other (and men don’t talk to women)</t>
    </r>
  </si>
  <si>
    <r>
      <t>TRANSITION:</t>
    </r>
    <r>
      <rPr>
        <sz val="11"/>
        <color theme="1"/>
        <rFont val="Arial Narrow"/>
        <family val="2"/>
      </rPr>
      <t xml:space="preserve"> Short transition, a new kind of rabbi</t>
    </r>
  </si>
  <si>
    <r>
      <t>TRANSITION</t>
    </r>
    <r>
      <rPr>
        <sz val="11"/>
        <color theme="1"/>
        <rFont val="Arial Narrow"/>
        <family val="2"/>
      </rPr>
      <t>: John the Baptist</t>
    </r>
  </si>
  <si>
    <r>
      <t>TRANSITION</t>
    </r>
    <r>
      <rPr>
        <sz val="11"/>
        <color theme="1"/>
        <rFont val="Arial Narrow"/>
        <family val="2"/>
      </rPr>
      <t>: Short transition introducing Jesus’ teachings</t>
    </r>
  </si>
  <si>
    <r>
      <t xml:space="preserve">TRANSITION: </t>
    </r>
    <r>
      <rPr>
        <sz val="11"/>
        <color theme="1"/>
        <rFont val="Arial Narrow"/>
        <family val="2"/>
      </rPr>
      <t>parables</t>
    </r>
  </si>
  <si>
    <r>
      <t xml:space="preserve">TRANSITION: </t>
    </r>
    <r>
      <rPr>
        <sz val="11"/>
        <color theme="1"/>
        <rFont val="Arial Narrow"/>
        <family val="2"/>
      </rPr>
      <t>the Sermon on the Mount</t>
    </r>
  </si>
  <si>
    <r>
      <t xml:space="preserve">TRANSITION: </t>
    </r>
    <r>
      <rPr>
        <sz val="11"/>
        <color theme="1"/>
        <rFont val="Arial Narrow"/>
        <family val="2"/>
      </rPr>
      <t>the storm</t>
    </r>
  </si>
  <si>
    <r>
      <t>TRANSITION</t>
    </r>
    <r>
      <rPr>
        <sz val="11"/>
        <color theme="1"/>
        <rFont val="Arial Narrow"/>
        <family val="2"/>
      </rPr>
      <t>: Herod</t>
    </r>
  </si>
  <si>
    <r>
      <t xml:space="preserve">TRANSITION: </t>
    </r>
    <r>
      <rPr>
        <sz val="11"/>
        <color theme="1"/>
        <rFont val="Arial Narrow"/>
        <family val="2"/>
      </rPr>
      <t>Jesus begins to reveal who he is</t>
    </r>
  </si>
  <si>
    <r>
      <t>TRANSITION:</t>
    </r>
    <r>
      <rPr>
        <sz val="11"/>
        <color theme="1"/>
        <rFont val="Arial Narrow"/>
        <family val="2"/>
      </rPr>
      <t xml:space="preserve"> transition telling of the intense hatred that the Pharisees had of Jesus, tell of Jesus going to the feast of Tabernacles.</t>
    </r>
  </si>
  <si>
    <r>
      <t>TRANSITION:</t>
    </r>
    <r>
      <rPr>
        <sz val="11"/>
        <color theme="1"/>
        <rFont val="Arial Narrow"/>
        <family val="2"/>
      </rPr>
      <t xml:space="preserve"> Short transition explaining that Jesus went to the Mount of Olives and continued to teach the people.</t>
    </r>
  </si>
  <si>
    <r>
      <t>TRANSITION:</t>
    </r>
    <r>
      <rPr>
        <sz val="11"/>
        <color theme="1"/>
        <rFont val="Arial Narrow"/>
        <family val="2"/>
      </rPr>
      <t xml:space="preserve"> Short transition telling that Jesus began his journey to Jerusalem even though he knew that death awaited him there.</t>
    </r>
  </si>
  <si>
    <r>
      <t>TRANSITION:</t>
    </r>
    <r>
      <rPr>
        <sz val="11"/>
        <color theme="1"/>
        <rFont val="Arial Narrow"/>
        <family val="2"/>
      </rPr>
      <t xml:space="preserve"> Short transition: the wait is over</t>
    </r>
  </si>
  <si>
    <r>
      <t>TRANSITION</t>
    </r>
    <r>
      <rPr>
        <sz val="11"/>
        <color theme="1"/>
        <rFont val="Arial Narrow"/>
        <family val="2"/>
      </rPr>
      <t>: Short transition to show that Jesus is talking.</t>
    </r>
  </si>
  <si>
    <r>
      <t xml:space="preserve">TRANSITION: </t>
    </r>
    <r>
      <rPr>
        <sz val="11"/>
        <color theme="1"/>
        <rFont val="Arial Narrow"/>
        <family val="2"/>
      </rPr>
      <t>Jesus does God’s will</t>
    </r>
  </si>
  <si>
    <r>
      <t>TRANSITION:</t>
    </r>
    <r>
      <rPr>
        <sz val="11"/>
        <color theme="1"/>
        <rFont val="Arial Narrow"/>
        <family val="2"/>
      </rPr>
      <t xml:space="preserve"> Short Transition</t>
    </r>
  </si>
  <si>
    <r>
      <t>TRANSTION:</t>
    </r>
    <r>
      <rPr>
        <sz val="11"/>
        <color theme="1"/>
        <rFont val="Arial Narrow"/>
        <family val="2"/>
      </rPr>
      <t xml:space="preserve"> Short transition to Jesus talking</t>
    </r>
  </si>
  <si>
    <r>
      <t>TRANSITION:</t>
    </r>
    <r>
      <rPr>
        <sz val="11"/>
        <color theme="1"/>
        <rFont val="Arial Narrow"/>
        <family val="2"/>
      </rPr>
      <t xml:space="preserve"> Short transition explaining that the soldiers arrested Jesus and all the disciples fled.</t>
    </r>
  </si>
  <si>
    <r>
      <t>TRANSITION</t>
    </r>
    <r>
      <rPr>
        <sz val="11"/>
        <color theme="1"/>
        <rFont val="Arial Narrow"/>
        <family val="2"/>
      </rPr>
      <t>: Short Transition into the story of Peter’s denial</t>
    </r>
  </si>
  <si>
    <r>
      <t>TRANSITION:</t>
    </r>
    <r>
      <rPr>
        <sz val="11"/>
        <color theme="1"/>
        <rFont val="Arial Narrow"/>
        <family val="2"/>
      </rPr>
      <t xml:space="preserve"> Short transition, introducing Pilate, into the story of Jesus before Pilate the Governor</t>
    </r>
  </si>
  <si>
    <r>
      <t>TRANSITION:</t>
    </r>
    <r>
      <rPr>
        <sz val="10"/>
        <color theme="1"/>
        <rFont val="Arial Narrow"/>
        <family val="2"/>
      </rPr>
      <t xml:space="preserve"> Short transition explaining that as they crucified Jesus (explain crucifixion), he cried out for God to forgive them.</t>
    </r>
  </si>
  <si>
    <r>
      <t>TRANSITION:</t>
    </r>
    <r>
      <rPr>
        <sz val="11"/>
        <color theme="1"/>
        <rFont val="Arial Narrow"/>
        <family val="2"/>
      </rPr>
      <t xml:space="preserve"> Short Transition, explain that some time has passed and the pain of suffocation as Christ was hanging on the cross.</t>
    </r>
  </si>
  <si>
    <r>
      <t xml:space="preserve">TRANSITION: </t>
    </r>
    <r>
      <rPr>
        <sz val="11"/>
        <color theme="1"/>
        <rFont val="Arial Narrow"/>
        <family val="2"/>
      </rPr>
      <t>Pentecost</t>
    </r>
  </si>
  <si>
    <r>
      <t>TRANSITION:</t>
    </r>
    <r>
      <rPr>
        <sz val="11"/>
        <color theme="1"/>
        <rFont val="Arial Narrow"/>
        <family val="2"/>
      </rPr>
      <t xml:space="preserve"> Short Transition into the story of Stephen</t>
    </r>
  </si>
  <si>
    <r>
      <t>TRANSITION</t>
    </r>
    <r>
      <rPr>
        <sz val="11"/>
        <color theme="1"/>
        <rFont val="Arial Narrow"/>
        <family val="2"/>
      </rPr>
      <t>: Short Transition explaining what Stephen said.</t>
    </r>
  </si>
  <si>
    <r>
      <t>TRANSITION</t>
    </r>
    <r>
      <rPr>
        <sz val="11"/>
        <color theme="1"/>
        <rFont val="Arial Narrow"/>
        <family val="2"/>
      </rPr>
      <t>: Paul’s travels</t>
    </r>
  </si>
  <si>
    <r>
      <t xml:space="preserve">TRANSITION: </t>
    </r>
    <r>
      <rPr>
        <sz val="11"/>
        <color theme="1"/>
        <rFont val="Arial Narrow"/>
        <family val="2"/>
      </rPr>
      <t>Long transition discussing Paul’s mission to the Gentiles</t>
    </r>
  </si>
  <si>
    <r>
      <t>TRANSITION:</t>
    </r>
    <r>
      <rPr>
        <sz val="11"/>
        <color theme="1"/>
        <rFont val="Arial Narrow"/>
        <family val="2"/>
      </rPr>
      <t xml:space="preserve"> Short Transition: Paul’s opposition</t>
    </r>
  </si>
  <si>
    <r>
      <t>TRANSITION:</t>
    </r>
    <r>
      <rPr>
        <sz val="11"/>
        <color theme="1"/>
        <rFont val="Arial Narrow"/>
        <family val="2"/>
      </rPr>
      <t xml:space="preserve"> Short Transition explaining Paul’s going to Berea, Athens and then transition into his heading to Corinth.</t>
    </r>
  </si>
  <si>
    <r>
      <t>TRANSITION:</t>
    </r>
    <r>
      <rPr>
        <sz val="11"/>
        <color theme="1"/>
        <rFont val="Arial Narrow"/>
        <family val="2"/>
      </rPr>
      <t xml:space="preserve"> Short Transition into the letters of Paul to the Thessalonians.  (Explain that it was during the year and a half at Corinth that Paul wrote the letter?)</t>
    </r>
  </si>
  <si>
    <r>
      <t>TRANSITION:</t>
    </r>
    <r>
      <rPr>
        <sz val="11"/>
        <color theme="1"/>
        <rFont val="Arial Narrow"/>
        <family val="2"/>
      </rPr>
      <t xml:space="preserve"> Short Transition back into the story of Paul’s missionary journey</t>
    </r>
  </si>
  <si>
    <r>
      <t>TRANSITION:</t>
    </r>
    <r>
      <rPr>
        <sz val="11"/>
        <color theme="1"/>
        <rFont val="Arial Narrow"/>
        <family val="2"/>
      </rPr>
      <t xml:space="preserve"> Short Transition into the story of Paul at Corinth</t>
    </r>
  </si>
  <si>
    <r>
      <t xml:space="preserve">TRANSITION: </t>
    </r>
    <r>
      <rPr>
        <sz val="11"/>
        <color theme="1"/>
        <rFont val="Arial Narrow"/>
        <family val="2"/>
      </rPr>
      <t>Short Transition to Paul’s letters to the Corinthians</t>
    </r>
  </si>
  <si>
    <r>
      <t>TRANSITION:</t>
    </r>
    <r>
      <rPr>
        <sz val="11"/>
        <color theme="1"/>
        <rFont val="Arial Narrow"/>
        <family val="2"/>
      </rPr>
      <t xml:space="preserve"> Short Transition into Paul’s letter to the Galatians (explain that the some members of the Galatian Church were saying that you must be circumcised to be saved</t>
    </r>
  </si>
  <si>
    <r>
      <t>TRANSITION:</t>
    </r>
    <r>
      <rPr>
        <sz val="11"/>
        <color theme="1"/>
        <rFont val="Arial Narrow"/>
        <family val="2"/>
      </rPr>
      <t xml:space="preserve"> Short Transition into Paul’s letter to the Romans (intending to visit Rome in the future)</t>
    </r>
  </si>
  <si>
    <r>
      <t xml:space="preserve">TRANSITION: </t>
    </r>
    <r>
      <rPr>
        <sz val="11"/>
        <color theme="1"/>
        <rFont val="Arial Narrow"/>
        <family val="2"/>
      </rPr>
      <t>Paul determines to go to Jerusalem</t>
    </r>
  </si>
  <si>
    <r>
      <t>TRANSITION:</t>
    </r>
    <r>
      <rPr>
        <sz val="11"/>
        <color theme="1"/>
        <rFont val="Arial Narrow"/>
        <family val="2"/>
      </rPr>
      <t xml:space="preserve"> Short Transition back to the story of Acts where Paul had joined the others at Troas</t>
    </r>
  </si>
  <si>
    <r>
      <t>TRANSITION:</t>
    </r>
    <r>
      <rPr>
        <sz val="11"/>
        <color theme="1"/>
        <rFont val="Arial Narrow"/>
        <family val="2"/>
      </rPr>
      <t xml:space="preserve"> Short Transition into Paul’s letter to the Ephesians. (Explain that Paul is writing from prison in Rome)</t>
    </r>
  </si>
  <si>
    <r>
      <t>TRANSITION</t>
    </r>
    <r>
      <rPr>
        <sz val="11"/>
        <color theme="1"/>
        <rFont val="Arial Narrow"/>
        <family val="2"/>
      </rPr>
      <t>: Transition to Paul’s final letter</t>
    </r>
  </si>
  <si>
    <r>
      <t>TRANSITION:</t>
    </r>
    <r>
      <rPr>
        <sz val="11"/>
        <color theme="1"/>
        <rFont val="Arial Narrow"/>
        <family val="2"/>
      </rPr>
      <t xml:space="preserve"> Long transition into Revelation.  Explain that the disciples were intensely persecuted, most of them killed (and yet Christianity continued to thrive, and tell that John was exiled to the Island of Patmos.</t>
    </r>
  </si>
  <si>
    <t>Genesis 1:1-2:9</t>
  </si>
  <si>
    <t>Genesis 2:15-25</t>
  </si>
  <si>
    <t>Genesis 3:1-4:8</t>
  </si>
  <si>
    <t>Genesis 6:5-7:1</t>
  </si>
  <si>
    <t>Genesis 7:4, 7:6–10; 7:13-8:5</t>
  </si>
  <si>
    <t>Genesis 16:9-17:11</t>
  </si>
  <si>
    <t>Exodus 5:19-6:8</t>
  </si>
  <si>
    <t>Exodus 10:27-11:1</t>
  </si>
  <si>
    <t>Exodus 24:15-25:2, 8-9</t>
  </si>
  <si>
    <t>Judges 14:1-16:31</t>
  </si>
  <si>
    <t>Ruth 1:1-4:17</t>
  </si>
  <si>
    <t>1 Samuel 1:1-2:2; 2:19-21</t>
  </si>
  <si>
    <t>1 Samuel 3:1-4:18</t>
  </si>
  <si>
    <t>Esther 1:1-2:4</t>
  </si>
  <si>
    <t>3:1-4:17</t>
  </si>
  <si>
    <t>5:1-8:2</t>
  </si>
  <si>
    <t>8:3-9:17</t>
  </si>
  <si>
    <t>John 18:33-19:16</t>
  </si>
  <si>
    <t>Acts 21:27b-23:35</t>
  </si>
  <si>
    <t>Acts 27:1-28:31</t>
  </si>
  <si>
    <t>Revelation 4:1-5:14</t>
  </si>
  <si>
    <t>Revelation 21:1-22:21</t>
  </si>
  <si>
    <t>TRANSITION: Long Transition telling of Elisha’s death, the story of the raiders throwing a body in his tomb (2 Kings 13: 20-21). Tell of the reigns of kings Jehu- Jeroboam II. Tell that it was during a period of prosperity but sinful living and transition into the prophetic message of Amos.</t>
  </si>
  <si>
    <t>TRANSITION: Long Transition covering Acts 14:21- Acts 16:15</t>
  </si>
  <si>
    <r>
      <t>TRANSITION:</t>
    </r>
    <r>
      <rPr>
        <sz val="11"/>
        <color theme="1"/>
        <rFont val="Arial Narrow"/>
        <family val="2"/>
      </rPr>
      <t xml:space="preserve"> Growth of the church and persecution</t>
    </r>
  </si>
  <si>
    <r>
      <t>TRANSITION: L</t>
    </r>
    <r>
      <rPr>
        <sz val="11"/>
        <color theme="1"/>
        <rFont val="Arial Narrow"/>
        <family val="2"/>
      </rPr>
      <t>ead into the Good Samaritan</t>
    </r>
  </si>
  <si>
    <t>CHAPTER 1</t>
  </si>
  <si>
    <t>The Beginning of Life as We Know It</t>
  </si>
  <si>
    <t>CHAPTER 10</t>
  </si>
  <si>
    <t>Standing Tall, Falling Hard</t>
  </si>
  <si>
    <t>CHAPTER 11</t>
  </si>
  <si>
    <t>From Shepherd to King</t>
  </si>
  <si>
    <t>CHAPTER 12</t>
  </si>
  <si>
    <t>The Trials of a King</t>
  </si>
  <si>
    <t>CHAPTER 13</t>
  </si>
  <si>
    <t>The king who had it all</t>
  </si>
  <si>
    <t>CHAPTER 14</t>
  </si>
  <si>
    <t>A Kingdom Torn in Two</t>
  </si>
  <si>
    <t>CHAPTER 15</t>
  </si>
  <si>
    <t>God’s Messengers</t>
  </si>
  <si>
    <t>CHAPTER 16</t>
  </si>
  <si>
    <t>The Beginning of the End</t>
  </si>
  <si>
    <t>CHAPTER 17</t>
  </si>
  <si>
    <t>The Kingdoms’ Fall</t>
  </si>
  <si>
    <t>CHAPTER 18</t>
  </si>
  <si>
    <t>Daniel in Exile</t>
  </si>
  <si>
    <t>CHAPTER 19</t>
  </si>
  <si>
    <t>The Return Home</t>
  </si>
  <si>
    <t>CHAPTER 2</t>
  </si>
  <si>
    <t>God Builds a Nation</t>
  </si>
  <si>
    <t>CHAPTER 20</t>
  </si>
  <si>
    <t>The Queen of Beauty and Courage</t>
  </si>
  <si>
    <t>CHAPTER 21</t>
  </si>
  <si>
    <t>Rebuilding the Walls</t>
  </si>
  <si>
    <t>CHAPTER 22</t>
  </si>
  <si>
    <t>The Birth of the King</t>
  </si>
  <si>
    <t>CHAPTER 23</t>
  </si>
  <si>
    <t>Jesus’ Ministry Begins</t>
  </si>
  <si>
    <t>CHAPTER 24</t>
  </si>
  <si>
    <t>No Ordinary Man</t>
  </si>
  <si>
    <t>CHAPTER 25</t>
  </si>
  <si>
    <t>Jesus, The Son of God</t>
  </si>
  <si>
    <t>CHAPTER 26</t>
  </si>
  <si>
    <t>The Hour of Darkness</t>
  </si>
  <si>
    <t>CHAPTER 27</t>
  </si>
  <si>
    <t>The Resurrection</t>
  </si>
  <si>
    <t>CHAPTER 28</t>
  </si>
  <si>
    <t>New Beginnings</t>
  </si>
  <si>
    <t>CHAPTER 29</t>
  </si>
  <si>
    <t>Paul’s Mission</t>
  </si>
  <si>
    <t>CHAPTER 3</t>
  </si>
  <si>
    <t>Joseph: From Slave to Deputy Pharaoh</t>
  </si>
  <si>
    <t>CHAPTER 30</t>
  </si>
  <si>
    <t>Paul’s Final Days</t>
  </si>
  <si>
    <t>CHAPTER 31</t>
  </si>
  <si>
    <t>Revelation</t>
  </si>
  <si>
    <t>CHAPTER 4</t>
  </si>
  <si>
    <t>Deliverance</t>
  </si>
  <si>
    <t>CHAPTER 5</t>
  </si>
  <si>
    <t>New Commands and a New Covenant</t>
  </si>
  <si>
    <t>CHAPTER 6</t>
  </si>
  <si>
    <t>Wandering</t>
  </si>
  <si>
    <t>CHAPTER 7</t>
  </si>
  <si>
    <t>The Battle Begins</t>
  </si>
  <si>
    <t>CHAPTER 8</t>
  </si>
  <si>
    <t>A few good men . . . and women</t>
  </si>
  <si>
    <t>CHAPTER 9</t>
  </si>
  <si>
    <t>The Faith of a Foreign Woman</t>
  </si>
  <si>
    <t>THE STORY VERSE MAP</t>
  </si>
  <si>
    <t>Transition:</t>
  </si>
  <si>
    <r>
      <t>TRANSITION:</t>
    </r>
    <r>
      <rPr>
        <sz val="11"/>
        <color theme="1"/>
        <rFont val="Arial Narrow"/>
        <family val="2"/>
      </rPr>
      <t xml:space="preserve"> Short Transition to the arrest of Paul. Transition telling of Paul’s trial before Felix, Festus, his appeal to Caesar, his trial before Agrippa, transition into his setting sail to Rome.</t>
    </r>
  </si>
  <si>
    <t>Short transition explaining the fulfillment of what Joseph said (Onset of the famine)</t>
  </si>
  <si>
    <t>Short transition explaining Joseph’s God-given ability to interpret dreams.</t>
  </si>
  <si>
    <t>Short transition into the Israelites' journey into the desert. Focus on the faithfulness and glory that God showed to the Israelites</t>
  </si>
  <si>
    <t>Short transition making it clear that Moses disobeyed by striking the rock in his great anger, and the march near the kingdom of Edom</t>
  </si>
  <si>
    <t>Short transition explaining that some time passed, and the people are about to enter the land</t>
  </si>
  <si>
    <t>Short transition into Moses’ farewell</t>
  </si>
  <si>
    <t>Short transition--Achan’s sin.</t>
  </si>
  <si>
    <t>Short transition--Gibeonites’ deception.</t>
  </si>
  <si>
    <t>Short transition--Ehud, Eglon and Deborah</t>
  </si>
  <si>
    <t>Long transition explaining that the ark caused the god Dagon to break down, and tumors to break out amongst the Philistines, so they returned it to the Israelites. The Israelites gave it to Eleazar for him to keep guard over it in his house on the hill. Explain Samuel's delivering them from the Philistines. Transition into…</t>
  </si>
  <si>
    <t>Possible short transition explaining that some time has passed with Saul as king.</t>
  </si>
  <si>
    <t>Long transition explaining Saul’s jealousy and pursuit of David</t>
  </si>
  <si>
    <t>Long transition explaining David’s victories (explain that David used to go out to battle with the armies). Explain that David was a man after God’s own heart and God blessed him. Transition into story of David and Bathsheba.</t>
  </si>
  <si>
    <t>Long transition explaining that although the Lord graciously forgave David, great calamity came upon David due to his sin (as Nathan said): Absalom violating David’s wives, his rebellion; lead up to story of David fighting against Absalom, introduce the character of Joab.</t>
  </si>
  <si>
    <t>Short transition telling of the Shunammite woman.</t>
  </si>
  <si>
    <t>Long transition telling of Elisha’s death, the story of the raiders throwing a body in his tomb (2 Kings 13: 20-21). Tell of the reigns of kings Jehu--Jeroboam II. Tell that it was during a period of prosperity but sinful living and transition into the prophetic message of Amos.</t>
  </si>
  <si>
    <t>Short transition into the message of Hosea</t>
  </si>
  <si>
    <t>Short transition explaining that although Ezekiel prophesied God’s wrath on the people (Jerusalem’s destruction), he also told that God would rescue his people from exile and pour out mercy upon them. Transition to God’s message of future mercy on Israel.</t>
  </si>
  <si>
    <t>Short transition explaining that God answered Nehemiah’s prayer and he was granted permission by the king to go rebuild the wall.</t>
  </si>
  <si>
    <t>Transition telling of the Pharisees' intense hatred of Jesus, tell of Jesus going to the feast of Tabernacles.</t>
  </si>
  <si>
    <t>Short Transition into Paul’s letter to the Galatians (explain that some members of the Galatian Church were saying that you must be circumcised to be saved)</t>
  </si>
  <si>
    <t>Long transition into Revelation. Explain that the disciples were intensely persecuted, most of them killed (and yet Christianity continued to thrive), and tell that John was exiled to the Island of Patmos.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</si>
</sst>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Calibri"/>
      <family val="2"/>
      <scheme val="minor"/>
    </font>
    <font>
      <sz val="14"/>
      <color theme="1"/>
      <name val="Arial Narrow"/>
      <family val="2"/>
    </font>
    <font>
      <sz val="12"/>
      <color theme="1"/>
      <name val="Arial Narrow"/>
      <family val="2"/>
    </font>
    <font>
      <sz val="11"/>
      <color theme="1"/>
      <name val="Arial Narrow"/>
      <family val="2"/>
    </font>
    <font>
      <u/>
      <sz val="11"/>
      <color theme="1"/>
      <name val="Arial Narrow"/>
      <family val="2"/>
    </font>
    <font>
      <u/>
      <sz val="11"/>
      <name val="Arial Narrow"/>
      <family val="2"/>
    </font>
    <font>
      <sz val="11"/>
      <name val="Arial Narrow"/>
      <family val="2"/>
    </font>
    <font>
      <u/>
      <sz val="10"/>
      <color theme="1"/>
      <name val="Arial Narrow"/>
      <family val="2"/>
    </font>
    <font>
      <sz val="10"/>
      <color theme="1"/>
      <name val="Arial Narrow"/>
      <family val="2"/>
    </font>
    <font>
      <u/>
      <sz val="12"/>
      <color theme="10"/>
      <name val="Calibri"/>
      <family val="2"/>
      <scheme val="minor"/>
    </font>
    <font>
      <u/>
      <sz val="12"/>
      <color theme="11"/>
      <name val="Calibri"/>
      <family val="2"/>
      <scheme val="minor"/>
    </font>
    <font>
      <i/>
      <sz val="12"/>
      <color theme="1"/>
      <name val="Arial Narrow"/>
      <family val="2"/>
    </font>
    <font>
      <b/>
      <sz val="14"/>
      <color theme="1"/>
      <name val="Arial Narrow"/>
      <family val="2"/>
    </font>
    <font>
      <i/>
      <sz val="11"/>
      <color theme="1"/>
      <name val="Arial Narrow"/>
      <family val="2"/>
    </font>
    <font>
      <sz val="8"/>
      <name val="Calibri"/>
      <family val="2"/>
      <scheme val="minor"/>
    </font>
    <font>
      <b/>
      <sz val="12"/>
      <color theme="3" tint="-0.249977111117893"/>
      <name val="Arial Narrow"/>
      <family val="2"/>
    </font>
    <font>
      <sz val="12"/>
      <color theme="3" tint="-0.249977111117893"/>
      <name val="Arial Narrow"/>
      <family val="2"/>
    </font>
    <font>
      <sz val="14"/>
      <color theme="3" tint="-0.249977111117893"/>
      <name val="Arial Narrow"/>
      <family val="2"/>
    </font>
    <font>
      <b/>
      <sz val="16"/>
      <color theme="4" tint="-0.249977111117893"/>
      <name val="Arial Narrow"/>
      <family val="2"/>
    </font>
    <font>
      <b/>
      <sz val="12"/>
      <color theme="4" tint="-0.249977111117893"/>
      <name val="Arial Narrow"/>
      <family val="2"/>
    </font>
    <font>
      <i/>
      <sz val="12"/>
      <color theme="3" tint="0.39997558519241921"/>
      <name val="Arial Narrow"/>
      <family val="2"/>
    </font>
    <font>
      <b/>
      <sz val="18"/>
      <color theme="1"/>
      <name val="Arial Narrow"/>
      <family val="2"/>
    </font>
    <font>
      <i/>
      <sz val="12"/>
      <color rgb="FF000000"/>
      <name val="Arial Narrow"/>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3">
    <xf numFmtId="0" fontId="0" fillId="0" borderId="0"/>
    <xf numFmtId="0" fontId="9" fillId="0" borderId="0" applyNumberFormat="0" applyFill="0" applyBorder="0" applyAlignment="0" applyProtection="0"/>
    <xf numFmtId="0" fontId="10" fillId="0" borderId="0" applyNumberFormat="0" applyFill="0" applyBorder="0" applyAlignment="0" applyProtection="0"/>
  </cellStyleXfs>
  <cellXfs count="26">
    <xf numFmtId="0" fontId="0" fillId="0" borderId="0" xfId="0"/>
    <xf numFmtId="0" fontId="1" fillId="0" borderId="0" xfId="0" applyFont="1" applyAlignment="1">
      <alignment horizontal="center" vertical="center"/>
    </xf>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0" xfId="1"/>
    <xf numFmtId="0" fontId="12" fillId="0" borderId="0" xfId="0" applyFont="1" applyAlignment="1">
      <alignment horizontal="left" vertical="top"/>
    </xf>
    <xf numFmtId="0" fontId="2" fillId="0" borderId="0" xfId="0" applyFont="1" applyAlignment="1">
      <alignment vertical="top"/>
    </xf>
    <xf numFmtId="0" fontId="9" fillId="0" borderId="0" xfId="1" applyAlignment="1">
      <alignment vertical="top"/>
    </xf>
    <xf numFmtId="0" fontId="11" fillId="0" borderId="0" xfId="0" applyFont="1" applyAlignment="1">
      <alignment horizontal="left" vertical="top" wrapText="1"/>
    </xf>
    <xf numFmtId="0" fontId="13" fillId="0" borderId="0" xfId="0" applyFont="1" applyAlignment="1">
      <alignment horizontal="left" vertical="top"/>
    </xf>
    <xf numFmtId="0" fontId="11" fillId="0" borderId="0" xfId="0" applyFont="1" applyAlignment="1">
      <alignment horizontal="left" vertical="top"/>
    </xf>
    <xf numFmtId="0" fontId="2"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xf numFmtId="0" fontId="19" fillId="0" borderId="0" xfId="0" applyFont="1"/>
    <xf numFmtId="0" fontId="18" fillId="0" borderId="0" xfId="0" applyFont="1" applyAlignment="1">
      <alignment horizontal="left" vertical="top"/>
    </xf>
    <xf numFmtId="0" fontId="22" fillId="0" borderId="0" xfId="0" applyFont="1" applyAlignment="1">
      <alignment vertical="center"/>
    </xf>
    <xf numFmtId="0" fontId="22" fillId="0" borderId="0" xfId="0" applyFont="1" applyAlignment="1">
      <alignment vertical="center" wrapText="1"/>
    </xf>
    <xf numFmtId="0" fontId="20" fillId="0" borderId="1" xfId="0" applyFont="1" applyBorder="1" applyAlignment="1">
      <alignment horizontal="center" vertical="top" wrapText="1"/>
    </xf>
    <xf numFmtId="0" fontId="21" fillId="0" borderId="0" xfId="0" applyFont="1" applyAlignment="1">
      <alignment horizontal="center" vertical="top"/>
    </xf>
  </cellXfs>
  <cellStyles count="3">
    <cellStyle name="Followed Hyperlink" xfId="2" builtinId="9" hidden="1"/>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680"/>
  <sheetViews>
    <sheetView showGridLines="0" tabSelected="1" showRuler="0" topLeftCell="C1" workbookViewId="0">
      <pane ySplit="2" topLeftCell="A3" activePane="bottomLeft" state="frozen"/>
      <selection activeCell="C1" sqref="C1"/>
      <selection pane="bottomLeft" activeCell="F655" sqref="F655"/>
    </sheetView>
  </sheetViews>
  <sheetFormatPr defaultColWidth="34.125" defaultRowHeight="20.25" x14ac:dyDescent="0.3"/>
  <cols>
    <col min="1" max="1" width="12.875" style="2" hidden="1" customWidth="1"/>
    <col min="2" max="2" width="16.875" style="15" hidden="1" customWidth="1"/>
    <col min="3" max="3" width="1.375" style="17" customWidth="1"/>
    <col min="4" max="4" width="1.5" style="19" customWidth="1"/>
    <col min="5" max="5" width="8.5" style="10" customWidth="1"/>
    <col min="6" max="6" width="49.875" style="10" customWidth="1"/>
    <col min="7" max="7" width="5.125" style="2" customWidth="1"/>
    <col min="8" max="8" width="8.125" style="2" customWidth="1"/>
    <col min="9" max="16384" width="34.125" style="2"/>
  </cols>
  <sheetData>
    <row r="1" spans="1:10" ht="24" customHeight="1" x14ac:dyDescent="0.25">
      <c r="A1" s="1" t="s">
        <v>0</v>
      </c>
      <c r="B1" s="1">
        <v>1</v>
      </c>
      <c r="C1" s="25" t="s">
        <v>632</v>
      </c>
      <c r="D1" s="25"/>
      <c r="E1" s="25"/>
      <c r="F1" s="25"/>
      <c r="G1" s="25"/>
    </row>
    <row r="2" spans="1:10" ht="33" customHeight="1" x14ac:dyDescent="0.25">
      <c r="B2" s="1">
        <v>2</v>
      </c>
      <c r="C2" s="24"/>
      <c r="D2" s="24"/>
      <c r="E2" s="24"/>
      <c r="F2" s="24"/>
      <c r="G2" s="24"/>
    </row>
    <row r="3" spans="1:10" x14ac:dyDescent="0.3">
      <c r="B3" s="1">
        <v>3</v>
      </c>
      <c r="C3" s="16" t="s">
        <v>570</v>
      </c>
      <c r="J3" s="8"/>
    </row>
    <row r="4" spans="1:10" ht="18" x14ac:dyDescent="0.25">
      <c r="B4" s="1">
        <v>4</v>
      </c>
      <c r="D4" s="20" t="s">
        <v>571</v>
      </c>
    </row>
    <row r="5" spans="1:10" x14ac:dyDescent="0.3">
      <c r="A5" s="3" t="s">
        <v>544</v>
      </c>
      <c r="B5" s="1">
        <v>5</v>
      </c>
      <c r="C5" s="18"/>
      <c r="F5" s="11" t="str">
        <f>HYPERLINK("http://www.biblegateway.com/passage/?search=Genesis%201:1-2:9&amp;version=NIV",A5)</f>
        <v>Genesis 1:1-2:9</v>
      </c>
    </row>
    <row r="6" spans="1:10" x14ac:dyDescent="0.3">
      <c r="A6" s="3" t="s">
        <v>545</v>
      </c>
      <c r="B6" s="1">
        <v>6</v>
      </c>
      <c r="C6" s="18"/>
      <c r="F6" s="11" t="str">
        <f>HYPERLINK("http://www.biblegateway.com/passage/?search=Genesis%202:15-25&amp;version=NIV",A6)</f>
        <v>Genesis 2:15-25</v>
      </c>
    </row>
    <row r="7" spans="1:10" x14ac:dyDescent="0.3">
      <c r="A7" s="4" t="s">
        <v>385</v>
      </c>
      <c r="B7" s="1">
        <v>7</v>
      </c>
      <c r="C7" s="18"/>
      <c r="E7" s="13" t="s">
        <v>633</v>
      </c>
      <c r="F7" s="12" t="str">
        <f>TRIM(MID(A7,FIND(":",A7)+2,500))</f>
        <v>Recap Adam and Eve and set up the temptation</v>
      </c>
    </row>
    <row r="8" spans="1:10" x14ac:dyDescent="0.3">
      <c r="A8" s="3" t="s">
        <v>546</v>
      </c>
      <c r="B8" s="1">
        <v>8</v>
      </c>
      <c r="C8" s="18"/>
      <c r="F8" s="11" t="str">
        <f>HYPERLINK("http://www.biblegateway.com/passage/?search=Genesis%203:1-4:8&amp;version=NIV",A8)</f>
        <v>Genesis 3:1-4:8</v>
      </c>
    </row>
    <row r="9" spans="1:10" x14ac:dyDescent="0.3">
      <c r="A9" s="4" t="s">
        <v>386</v>
      </c>
      <c r="B9" s="1">
        <v>9</v>
      </c>
      <c r="C9" s="18"/>
      <c r="E9" s="13" t="s">
        <v>633</v>
      </c>
      <c r="F9" s="12" t="str">
        <f>TRIM(MID(A9,FIND(":",A9)+2,500))</f>
        <v>Short transition explaining population</v>
      </c>
    </row>
    <row r="10" spans="1:10" x14ac:dyDescent="0.3">
      <c r="A10" s="3" t="s">
        <v>547</v>
      </c>
      <c r="B10" s="1">
        <v>10</v>
      </c>
      <c r="C10" s="18"/>
      <c r="F10" s="11" t="str">
        <f>HYPERLINK("http://www.biblegateway.com/passage/?search=Genesis%206:5-7:1&amp;version=NIV",A10)</f>
        <v>Genesis 6:5-7:1</v>
      </c>
    </row>
    <row r="11" spans="1:10" x14ac:dyDescent="0.3">
      <c r="A11" s="3" t="s">
        <v>548</v>
      </c>
      <c r="B11" s="1">
        <v>11</v>
      </c>
      <c r="C11" s="18"/>
      <c r="F11" s="11" t="str">
        <f>HYPERLINK("http://www.biblegateway.com/passage/?search=Genesis%207:4,%207:6–10;%207:13-8:5&amp;version=NIV",A11)</f>
        <v>Genesis 7:4, 7:6–10; 7:13-8:5</v>
      </c>
    </row>
    <row r="12" spans="1:10" x14ac:dyDescent="0.3">
      <c r="A12" s="3" t="s">
        <v>1</v>
      </c>
      <c r="B12" s="1">
        <v>12</v>
      </c>
      <c r="C12" s="18"/>
      <c r="F12" s="11" t="str">
        <f>HYPERLINK("http://www.biblegateway.com/passage/?search=Genesis%208:13-21&amp;version=NIV",A12)</f>
        <v>Genesis 8:13-21</v>
      </c>
    </row>
    <row r="13" spans="1:10" x14ac:dyDescent="0.3">
      <c r="A13" s="3" t="s">
        <v>2</v>
      </c>
      <c r="B13" s="1">
        <v>13</v>
      </c>
      <c r="C13" s="18"/>
      <c r="F13" s="11" t="str">
        <f>HYPERLINK("http://www.biblegateway.com/passage/?search=Genesis%209:1-2,%208-13,%2016&amp;version=NIV",A13)</f>
        <v>Genesis 9:1-2, 8-13, 16</v>
      </c>
    </row>
    <row r="14" spans="1:10" x14ac:dyDescent="0.3">
      <c r="A14" s="4" t="s">
        <v>387</v>
      </c>
      <c r="B14" s="1">
        <v>14</v>
      </c>
      <c r="C14" s="18"/>
      <c r="E14" s="13" t="s">
        <v>633</v>
      </c>
      <c r="F14" s="12" t="str">
        <f>TRIM(MID(A14,FIND(":",A14)+2,500))</f>
        <v>Give a short transition of repopulation and intro Abram and Sarai</v>
      </c>
    </row>
    <row r="15" spans="1:10" x14ac:dyDescent="0.3">
      <c r="B15" s="1">
        <v>15</v>
      </c>
    </row>
    <row r="16" spans="1:10" x14ac:dyDescent="0.3">
      <c r="B16" s="1">
        <v>16</v>
      </c>
      <c r="C16" s="16" t="s">
        <v>592</v>
      </c>
    </row>
    <row r="17" spans="1:6" ht="18" x14ac:dyDescent="0.25">
      <c r="B17" s="1">
        <v>17</v>
      </c>
      <c r="D17" s="20" t="s">
        <v>593</v>
      </c>
    </row>
    <row r="18" spans="1:6" x14ac:dyDescent="0.3">
      <c r="A18" s="3" t="s">
        <v>3</v>
      </c>
      <c r="B18" s="1">
        <v>18</v>
      </c>
      <c r="C18" s="18"/>
      <c r="F18" s="11" t="str">
        <f>HYPERLINK("http://www.biblegateway.com/passage/?search=Genesis%2012:1-5&amp;version=NIV",A18)</f>
        <v>Genesis 12:1-5</v>
      </c>
    </row>
    <row r="19" spans="1:6" x14ac:dyDescent="0.3">
      <c r="A19" s="3" t="s">
        <v>4</v>
      </c>
      <c r="B19" s="1">
        <v>19</v>
      </c>
      <c r="C19" s="18"/>
      <c r="F19" s="11" t="str">
        <f>HYPERLINK("http://www.biblegateway.com/passage/?search=Hebrews%2011:8&amp;version=NIV",A19)</f>
        <v>Hebrews 11:8</v>
      </c>
    </row>
    <row r="20" spans="1:6" x14ac:dyDescent="0.3">
      <c r="A20" s="3" t="s">
        <v>5</v>
      </c>
      <c r="B20" s="1">
        <v>20</v>
      </c>
      <c r="C20" s="18"/>
      <c r="F20" s="11" t="str">
        <f>HYPERLINK("http://www.biblegateway.com/passage/?search=Genesis%2012:6-7&amp;version=NIV",A20)</f>
        <v>Genesis 12:6-7</v>
      </c>
    </row>
    <row r="21" spans="1:6" x14ac:dyDescent="0.3">
      <c r="A21" s="3" t="s">
        <v>6</v>
      </c>
      <c r="B21" s="1">
        <v>21</v>
      </c>
      <c r="C21" s="18"/>
      <c r="F21" s="11" t="str">
        <f>HYPERLINK("http://www.biblegateway.com/passage/?search=Genesis%2013:5-6,%2014-18&amp;version=NIV",A21)</f>
        <v>Genesis 13:5-6, 14-18</v>
      </c>
    </row>
    <row r="22" spans="1:6" x14ac:dyDescent="0.3">
      <c r="A22" s="3" t="s">
        <v>7</v>
      </c>
      <c r="B22" s="1">
        <v>22</v>
      </c>
      <c r="C22" s="18"/>
      <c r="F22" s="11" t="str">
        <f>HYPERLINK("http://www.biblegateway.com/passage/?search=Hebrews%2011:9-10&amp;version=NIV",A22)</f>
        <v>Hebrews 11:9-10</v>
      </c>
    </row>
    <row r="23" spans="1:6" x14ac:dyDescent="0.3">
      <c r="A23" s="4" t="s">
        <v>388</v>
      </c>
      <c r="B23" s="1">
        <v>23</v>
      </c>
      <c r="C23" s="18"/>
      <c r="E23" s="13" t="s">
        <v>633</v>
      </c>
      <c r="F23" s="12" t="str">
        <f>TRIM(MID(A23,FIND(":",A23)+2,500))</f>
        <v>Short transition involving Abraham rescuing Lot</v>
      </c>
    </row>
    <row r="24" spans="1:6" x14ac:dyDescent="0.3">
      <c r="A24" s="3" t="s">
        <v>8</v>
      </c>
      <c r="B24" s="1">
        <v>24</v>
      </c>
      <c r="C24" s="18"/>
      <c r="F24" s="11" t="str">
        <f>HYPERLINK("http://www.biblegateway.com/passage/?search=Genesis%2015:1-6&amp;version=NIV",A24)</f>
        <v>Genesis 15:1-6</v>
      </c>
    </row>
    <row r="25" spans="1:6" x14ac:dyDescent="0.3">
      <c r="A25" s="3" t="s">
        <v>9</v>
      </c>
      <c r="B25" s="1">
        <v>25</v>
      </c>
      <c r="C25" s="18"/>
      <c r="F25" s="11" t="str">
        <f>HYPERLINK("http://www.biblegateway.com/passage/?search=Romans%204:18-22&amp;version=NIV",A25)</f>
        <v>Romans 4:18-22</v>
      </c>
    </row>
    <row r="26" spans="1:6" x14ac:dyDescent="0.3">
      <c r="A26" s="4" t="s">
        <v>389</v>
      </c>
      <c r="B26" s="1">
        <v>26</v>
      </c>
      <c r="C26" s="18"/>
      <c r="E26" s="13" t="s">
        <v>633</v>
      </c>
      <c r="F26" s="12" t="str">
        <f>TRIM(MID(A26,FIND(":",A26)+2,500))</f>
        <v>Short transition about Hagar</v>
      </c>
    </row>
    <row r="27" spans="1:6" x14ac:dyDescent="0.3">
      <c r="A27" s="3" t="s">
        <v>549</v>
      </c>
      <c r="B27" s="1">
        <v>27</v>
      </c>
      <c r="C27" s="18"/>
      <c r="F27" s="11" t="str">
        <f>HYPERLINK("http://www.biblegateway.com/passage/?search=Genesis%2016:9-17:11&amp;version=NIV",A27)</f>
        <v>Genesis 16:9-17:11</v>
      </c>
    </row>
    <row r="28" spans="1:6" x14ac:dyDescent="0.3">
      <c r="A28" s="3" t="s">
        <v>10</v>
      </c>
      <c r="B28" s="1">
        <v>28</v>
      </c>
      <c r="C28" s="18"/>
      <c r="F28" s="11" t="str">
        <f>HYPERLINK("http://www.biblegateway.com/passage/?search=Genesis%2017:14-16&amp;version=NIV",A28)</f>
        <v>Genesis 17:14-16</v>
      </c>
    </row>
    <row r="29" spans="1:6" x14ac:dyDescent="0.3">
      <c r="A29" s="3" t="s">
        <v>11</v>
      </c>
      <c r="B29" s="1">
        <v>29</v>
      </c>
      <c r="C29" s="18"/>
      <c r="F29" s="11" t="str">
        <f>HYPERLINK("http://www.biblegateway.com/passage/?search=Genesis%2021:1-2&amp;version=NIV",A29)</f>
        <v>Genesis 21:1-2</v>
      </c>
    </row>
    <row r="30" spans="1:6" x14ac:dyDescent="0.3">
      <c r="A30" s="3" t="s">
        <v>12</v>
      </c>
      <c r="B30" s="1">
        <v>30</v>
      </c>
      <c r="C30" s="18"/>
      <c r="F30" s="11" t="str">
        <f>HYPERLINK("http://www.biblegateway.com/passage/?search=Hebrews%2011:11-12&amp;version=NIV",A30)</f>
        <v>Hebrews 11:11-12</v>
      </c>
    </row>
    <row r="31" spans="1:6" x14ac:dyDescent="0.3">
      <c r="A31" s="3" t="s">
        <v>13</v>
      </c>
      <c r="B31" s="1">
        <v>31</v>
      </c>
      <c r="C31" s="18"/>
      <c r="F31" s="11" t="str">
        <f>HYPERLINK("http://www.biblegateway.com/passage/?search=Genesis%2021:3-7&amp;version=NIV",A31)</f>
        <v>Genesis 21:3-7</v>
      </c>
    </row>
    <row r="32" spans="1:6" x14ac:dyDescent="0.3">
      <c r="A32" s="4" t="s">
        <v>390</v>
      </c>
      <c r="B32" s="1">
        <v>32</v>
      </c>
      <c r="C32" s="18"/>
      <c r="E32" s="13" t="s">
        <v>633</v>
      </c>
      <c r="F32" s="12" t="str">
        <f>TRIM(MID(A32,FIND(":",A32)+2,500))</f>
        <v>Short transition: What will happen to Ishmael?</v>
      </c>
    </row>
    <row r="33" spans="1:6" x14ac:dyDescent="0.3">
      <c r="A33" s="3" t="s">
        <v>14</v>
      </c>
      <c r="B33" s="1">
        <v>33</v>
      </c>
      <c r="C33" s="18"/>
      <c r="F33" s="11" t="str">
        <f>HYPERLINK("http://www.biblegateway.com/passage/?search=Genesis%2021:8-20&amp;version=NIV",A33)</f>
        <v>Genesis 21:8-20</v>
      </c>
    </row>
    <row r="34" spans="1:6" x14ac:dyDescent="0.3">
      <c r="A34" s="3" t="s">
        <v>15</v>
      </c>
      <c r="B34" s="1">
        <v>34</v>
      </c>
      <c r="C34" s="18"/>
      <c r="F34" s="11" t="str">
        <f>HYPERLINK("http://www.biblegateway.com/passage/?search=Genesis%2022:1-13&amp;version=NIV",A34)</f>
        <v>Genesis 22:1-13</v>
      </c>
    </row>
    <row r="35" spans="1:6" x14ac:dyDescent="0.3">
      <c r="A35" s="3" t="s">
        <v>16</v>
      </c>
      <c r="B35" s="1">
        <v>35</v>
      </c>
      <c r="C35" s="18"/>
      <c r="F35" s="11" t="str">
        <f>HYPERLINK("http://www.biblegateway.com/passage/?search=Hebrews%2011:17-19&amp;version=NIV",A35)</f>
        <v>Hebrews 11:17-19</v>
      </c>
    </row>
    <row r="36" spans="1:6" x14ac:dyDescent="0.3">
      <c r="A36" s="3" t="s">
        <v>17</v>
      </c>
      <c r="B36" s="1">
        <v>36</v>
      </c>
      <c r="C36" s="18"/>
      <c r="F36" s="11" t="str">
        <f>HYPERLINK("http://www.biblegateway.com/passage/?search=Genesis%2022:14-18&amp;version=NIV",A36)</f>
        <v>Genesis 22:14-18</v>
      </c>
    </row>
    <row r="37" spans="1:6" ht="47.25" x14ac:dyDescent="0.3">
      <c r="A37" s="4" t="s">
        <v>391</v>
      </c>
      <c r="B37" s="1">
        <v>37</v>
      </c>
      <c r="C37" s="18"/>
      <c r="E37" s="13" t="s">
        <v>633</v>
      </c>
      <c r="F37" s="12" t="str">
        <f>TRIM(MID(A37,FIND(":",A37)+2,500))</f>
        <v>Long transition that explains Abraham’s death and a quick run through Jacob’s life. (Include Jacob stealing Esau’s blessing, and his marriage of Rachel and Leah) Lead up to his return to Esau.</v>
      </c>
    </row>
    <row r="38" spans="1:6" x14ac:dyDescent="0.3">
      <c r="A38" s="3" t="s">
        <v>18</v>
      </c>
      <c r="B38" s="1">
        <v>38</v>
      </c>
      <c r="C38" s="18"/>
      <c r="F38" s="11" t="str">
        <f>HYPERLINK("http://www.biblegateway.com/passage/?search=Genesis%2032:3-30&amp;version=NIV",A38)</f>
        <v>Genesis 32:3-30</v>
      </c>
    </row>
    <row r="39" spans="1:6" x14ac:dyDescent="0.3">
      <c r="A39" s="3" t="s">
        <v>19</v>
      </c>
      <c r="B39" s="1">
        <v>39</v>
      </c>
      <c r="C39" s="18"/>
      <c r="F39" s="11" t="str">
        <f>HYPERLINK("http://www.biblegateway.com/passage/?search=Genesis%2033:1-12&amp;version=NIV",A39)</f>
        <v>Genesis 33:1-12</v>
      </c>
    </row>
    <row r="40" spans="1:6" x14ac:dyDescent="0.3">
      <c r="A40" s="3" t="s">
        <v>20</v>
      </c>
      <c r="B40" s="1">
        <v>40</v>
      </c>
      <c r="C40" s="18"/>
      <c r="F40" s="11" t="str">
        <f>HYPERLINK("http://www.biblegateway.com/passage/?search=Genesis%2035:1-7,9-12,16-19,22,27-29&amp;version=NIV",A40)</f>
        <v>Genesis 35:1-7,9-12,16-19,22,27-29</v>
      </c>
    </row>
    <row r="41" spans="1:6" x14ac:dyDescent="0.3">
      <c r="A41" s="4" t="s">
        <v>392</v>
      </c>
      <c r="B41" s="1">
        <v>41</v>
      </c>
      <c r="C41" s="18"/>
      <c r="E41" s="13" t="s">
        <v>633</v>
      </c>
      <c r="F41" s="12" t="str">
        <f>TRIM(MID(A41,FIND(":",A41)+2,500))</f>
        <v>Short transition into the story of Joseph.</v>
      </c>
    </row>
    <row r="42" spans="1:6" x14ac:dyDescent="0.3">
      <c r="B42" s="1">
        <v>42</v>
      </c>
    </row>
    <row r="43" spans="1:6" x14ac:dyDescent="0.3">
      <c r="B43" s="1">
        <v>43</v>
      </c>
      <c r="C43" s="16" t="s">
        <v>614</v>
      </c>
    </row>
    <row r="44" spans="1:6" ht="18" x14ac:dyDescent="0.25">
      <c r="B44" s="1">
        <v>44</v>
      </c>
      <c r="D44" s="20" t="s">
        <v>615</v>
      </c>
    </row>
    <row r="45" spans="1:6" x14ac:dyDescent="0.3">
      <c r="A45" s="3" t="s">
        <v>21</v>
      </c>
      <c r="B45" s="1">
        <v>45</v>
      </c>
      <c r="C45" s="18"/>
      <c r="F45" s="11" t="str">
        <f>HYPERLINK("http://www.biblegateway.com/passage/?search=Genesis%2037:12-36&amp;version=NIV",A45)</f>
        <v>Genesis 37:12-36</v>
      </c>
    </row>
    <row r="46" spans="1:6" x14ac:dyDescent="0.3">
      <c r="A46" s="3" t="s">
        <v>22</v>
      </c>
      <c r="B46" s="1">
        <v>46</v>
      </c>
      <c r="C46" s="18"/>
      <c r="F46" s="11" t="str">
        <f>HYPERLINK("http://www.biblegateway.com/passage/?search=Genesis%2039:1-23&amp;version=NIV",A46)</f>
        <v>Genesis 39:1-23</v>
      </c>
    </row>
    <row r="47" spans="1:6" x14ac:dyDescent="0.3">
      <c r="A47" s="4" t="s">
        <v>393</v>
      </c>
      <c r="B47" s="1">
        <v>47</v>
      </c>
      <c r="C47" s="18"/>
      <c r="E47" s="13" t="s">
        <v>633</v>
      </c>
      <c r="F47" s="22" t="s">
        <v>636</v>
      </c>
    </row>
    <row r="48" spans="1:6" x14ac:dyDescent="0.3">
      <c r="A48" s="3" t="s">
        <v>23</v>
      </c>
      <c r="B48" s="1">
        <v>48</v>
      </c>
      <c r="C48" s="18"/>
      <c r="F48" s="11" t="str">
        <f>HYPERLINK("http://www.biblegateway.com/passage/?search=Genesis%2041:1a,8,14-16&amp;version=NIV",A48)</f>
        <v>Genesis 41:1a,8,14-16</v>
      </c>
    </row>
    <row r="49" spans="1:6" ht="31.5" x14ac:dyDescent="0.3">
      <c r="A49" s="4" t="s">
        <v>394</v>
      </c>
      <c r="B49" s="1">
        <v>49</v>
      </c>
      <c r="C49" s="18"/>
      <c r="E49" s="13" t="s">
        <v>633</v>
      </c>
      <c r="F49" s="12" t="str">
        <f>TRIM(MID(A49,FIND(":",A49)+2,500))</f>
        <v>Short transition explaining Joseph’s interpretation of Pharaoh’s dream</v>
      </c>
    </row>
    <row r="50" spans="1:6" x14ac:dyDescent="0.3">
      <c r="A50" s="3" t="s">
        <v>24</v>
      </c>
      <c r="B50" s="1">
        <v>50</v>
      </c>
      <c r="C50" s="18"/>
      <c r="F50" s="11" t="str">
        <f>HYPERLINK("http://www.biblegateway.com/passage/?search=Genesis%2041:37,%2039-44&amp;version=NIV",A50)</f>
        <v>Genesis 41:37, 39-44</v>
      </c>
    </row>
    <row r="51" spans="1:6" ht="31.5" x14ac:dyDescent="0.3">
      <c r="A51" s="4" t="s">
        <v>395</v>
      </c>
      <c r="B51" s="1">
        <v>51</v>
      </c>
      <c r="C51" s="18"/>
      <c r="E51" s="13" t="s">
        <v>633</v>
      </c>
      <c r="F51" s="12" t="s">
        <v>635</v>
      </c>
    </row>
    <row r="52" spans="1:6" x14ac:dyDescent="0.3">
      <c r="A52" s="3" t="s">
        <v>25</v>
      </c>
      <c r="B52" s="1">
        <v>52</v>
      </c>
      <c r="C52" s="18"/>
      <c r="F52" s="11" t="str">
        <f>HYPERLINK("http://www.biblegateway.com/passage/?search=Genesis%2042:1-4,%206-24&amp;version=NIV",A52)</f>
        <v>Genesis 42:1-4, 6-24</v>
      </c>
    </row>
    <row r="53" spans="1:6" x14ac:dyDescent="0.3">
      <c r="A53" s="4" t="s">
        <v>396</v>
      </c>
      <c r="B53" s="1">
        <v>53</v>
      </c>
      <c r="C53" s="18"/>
      <c r="E53" s="13" t="s">
        <v>633</v>
      </c>
      <c r="F53" s="12" t="str">
        <f>TRIM(MID(A53,FIND(":",A53)+2,500))</f>
        <v>Joseph’s plan</v>
      </c>
    </row>
    <row r="54" spans="1:6" x14ac:dyDescent="0.3">
      <c r="A54" s="3" t="s">
        <v>26</v>
      </c>
      <c r="B54" s="1">
        <v>54</v>
      </c>
      <c r="C54" s="18"/>
      <c r="F54" s="11" t="str">
        <f>HYPERLINK("http://www.biblegateway.com/passage/?search=Genesis%2043:1-3,11,13-15,26-31,33-34&amp;version=NIV",A54)</f>
        <v>Genesis 43:1-3,11,13-15,26-31,33-34</v>
      </c>
    </row>
    <row r="55" spans="1:6" x14ac:dyDescent="0.3">
      <c r="A55" s="3" t="s">
        <v>27</v>
      </c>
      <c r="B55" s="1">
        <v>55</v>
      </c>
      <c r="C55" s="18"/>
      <c r="F55" s="11" t="str">
        <f>HYPERLINK("http://www.biblegateway.com/passage/?search=Genesis%2044:1-18,%2027-34;&amp;version=NIV",A55)</f>
        <v>Genesis 44:1-18, 27-34;</v>
      </c>
    </row>
    <row r="56" spans="1:6" x14ac:dyDescent="0.3">
      <c r="A56" s="3" t="s">
        <v>28</v>
      </c>
      <c r="B56" s="1">
        <v>56</v>
      </c>
      <c r="C56" s="18"/>
      <c r="F56" s="11" t="str">
        <f>HYPERLINK("http://www.biblegateway.com/passage/?search=Genesis%2045:1-15,%2025-28&amp;version=NIV",A56)</f>
        <v>Genesis 45:1-15, 25-28</v>
      </c>
    </row>
    <row r="57" spans="1:6" x14ac:dyDescent="0.3">
      <c r="A57" s="3" t="s">
        <v>29</v>
      </c>
      <c r="B57" s="1">
        <v>57</v>
      </c>
      <c r="C57" s="18"/>
      <c r="F57" s="11" t="str">
        <f>HYPERLINK("http://www.biblegateway.com/passage/?search=Genesis%2046:1-5,%2028-30&amp;version=NIV",A57)</f>
        <v>Genesis 46:1-5, 28-30</v>
      </c>
    </row>
    <row r="58" spans="1:6" x14ac:dyDescent="0.3">
      <c r="A58" s="3" t="s">
        <v>30</v>
      </c>
      <c r="B58" s="1">
        <v>58</v>
      </c>
      <c r="C58" s="18"/>
      <c r="F58" s="11" t="str">
        <f>HYPERLINK("http://www.biblegateway.com/passage/?search=Genesis%2047:11,28-31&amp;version=NIV",A58)</f>
        <v>Genesis 47:11,28-31</v>
      </c>
    </row>
    <row r="59" spans="1:6" x14ac:dyDescent="0.3">
      <c r="A59" s="3" t="s">
        <v>31</v>
      </c>
      <c r="B59" s="1">
        <v>59</v>
      </c>
      <c r="C59" s="18"/>
      <c r="F59" s="11" t="str">
        <f>HYPERLINK("http://www.biblegateway.com/passage/?search=Genesis%2048:21&amp;version=NIV",A59)</f>
        <v>Genesis 48:21</v>
      </c>
    </row>
    <row r="60" spans="1:6" ht="31.5" x14ac:dyDescent="0.3">
      <c r="A60" s="4" t="s">
        <v>397</v>
      </c>
      <c r="B60" s="1">
        <v>60</v>
      </c>
      <c r="C60" s="18"/>
      <c r="E60" s="13" t="s">
        <v>633</v>
      </c>
      <c r="F60" s="12" t="str">
        <f>TRIM(MID(A60,FIND(":",A60)+2,500))</f>
        <v>Short transition telling of Jacob’s prophesying over his sons and his death</v>
      </c>
    </row>
    <row r="61" spans="1:6" x14ac:dyDescent="0.3">
      <c r="A61" s="3" t="s">
        <v>32</v>
      </c>
      <c r="B61" s="1">
        <v>61</v>
      </c>
      <c r="C61" s="18"/>
      <c r="F61" s="11" t="str">
        <f>HYPERLINK("http://www.biblegateway.com/passage/?search=Genesis%2050:15-26&amp;version=NIV",A61)</f>
        <v>Genesis 50:15-26</v>
      </c>
    </row>
    <row r="62" spans="1:6" x14ac:dyDescent="0.3">
      <c r="B62" s="1">
        <v>62</v>
      </c>
    </row>
    <row r="63" spans="1:6" x14ac:dyDescent="0.3">
      <c r="B63" s="1">
        <v>63</v>
      </c>
      <c r="C63" s="16" t="s">
        <v>620</v>
      </c>
    </row>
    <row r="64" spans="1:6" ht="18" x14ac:dyDescent="0.25">
      <c r="B64" s="1">
        <v>64</v>
      </c>
      <c r="D64" s="20" t="s">
        <v>621</v>
      </c>
    </row>
    <row r="65" spans="1:6" x14ac:dyDescent="0.3">
      <c r="A65" s="3" t="s">
        <v>33</v>
      </c>
      <c r="B65" s="1">
        <v>65</v>
      </c>
      <c r="C65" s="18"/>
      <c r="F65" s="11" t="str">
        <f>HYPERLINK("http://www.biblegateway.com/passage/?search=Exodus%201:6-14,%2022&amp;version=NIV",A65)</f>
        <v>Exodus 1:6-14, 22</v>
      </c>
    </row>
    <row r="66" spans="1:6" x14ac:dyDescent="0.3">
      <c r="A66" s="3" t="s">
        <v>34</v>
      </c>
      <c r="B66" s="1">
        <v>66</v>
      </c>
      <c r="C66" s="18"/>
      <c r="F66" s="11" t="str">
        <f>HYPERLINK("http://www.biblegateway.com/passage/?search=Exodus%202:1-25&amp;version=NIV",A66)</f>
        <v>Exodus 2:1-25</v>
      </c>
    </row>
    <row r="67" spans="1:6" x14ac:dyDescent="0.3">
      <c r="A67" s="3" t="s">
        <v>35</v>
      </c>
      <c r="B67" s="1">
        <v>67</v>
      </c>
      <c r="C67" s="18"/>
      <c r="F67" s="11" t="str">
        <f>HYPERLINK("http://www.biblegateway.com/passage/?search=Exodus%203:1-15&amp;version=NIV",A67)</f>
        <v>Exodus 3:1-15</v>
      </c>
    </row>
    <row r="68" spans="1:6" x14ac:dyDescent="0.3">
      <c r="A68" s="3" t="s">
        <v>36</v>
      </c>
      <c r="B68" s="1">
        <v>68</v>
      </c>
      <c r="C68" s="18"/>
      <c r="F68" s="11" t="str">
        <f>HYPERLINK("http://www.biblegateway.com/passage/?search=Exodus%204:10-17,%2027-31&amp;version=NIV",A68)</f>
        <v>Exodus 4:10-17, 27-31</v>
      </c>
    </row>
    <row r="69" spans="1:6" x14ac:dyDescent="0.3">
      <c r="A69" s="4" t="s">
        <v>398</v>
      </c>
      <c r="B69" s="1">
        <v>69</v>
      </c>
      <c r="C69" s="18"/>
      <c r="E69" s="13" t="s">
        <v>633</v>
      </c>
      <c r="F69" s="12" t="str">
        <f>TRIM(MID(A69,FIND(":",A69)+2,500))</f>
        <v>Short transition: Moses and Pharaoh</v>
      </c>
    </row>
    <row r="70" spans="1:6" x14ac:dyDescent="0.3">
      <c r="A70" s="3" t="s">
        <v>550</v>
      </c>
      <c r="B70" s="1">
        <v>70</v>
      </c>
      <c r="C70" s="18"/>
      <c r="F70" s="11" t="str">
        <f>HYPERLINK("http://www.biblegateway.com/passage/?search=Exodus%205:19-6:8&amp;version=NIV",A70)</f>
        <v>Exodus 5:19-6:8</v>
      </c>
    </row>
    <row r="71" spans="1:6" x14ac:dyDescent="0.3">
      <c r="A71" s="3" t="s">
        <v>37</v>
      </c>
      <c r="B71" s="1">
        <v>71</v>
      </c>
      <c r="C71" s="18"/>
      <c r="F71" s="11" t="str">
        <f>HYPERLINK("http://www.biblegateway.com/passage/?search=Exodus%207:8-24&amp;version=NIV",A71)</f>
        <v>Exodus 7:8-24</v>
      </c>
    </row>
    <row r="72" spans="1:6" ht="31.5" x14ac:dyDescent="0.3">
      <c r="A72" s="4" t="s">
        <v>399</v>
      </c>
      <c r="B72" s="1">
        <v>72</v>
      </c>
      <c r="C72" s="18"/>
      <c r="E72" s="13" t="s">
        <v>633</v>
      </c>
      <c r="F72" s="12" t="str">
        <f>TRIM(MID(A72,FIND(":",A72)+2,500))</f>
        <v>Long Transition. Explain the plagues and the hardness of Pharaoh’s heart.</v>
      </c>
    </row>
    <row r="73" spans="1:6" x14ac:dyDescent="0.3">
      <c r="A73" s="3" t="s">
        <v>551</v>
      </c>
      <c r="B73" s="1">
        <v>73</v>
      </c>
      <c r="C73" s="18"/>
      <c r="F73" s="11" t="str">
        <f>HYPERLINK("http://www.biblegateway.com/passage/?search=Exodus%2010:27-11:1&amp;version=NIV",A73)</f>
        <v>Exodus 10:27-11:1</v>
      </c>
    </row>
    <row r="74" spans="1:6" x14ac:dyDescent="0.3">
      <c r="A74" s="3" t="s">
        <v>38</v>
      </c>
      <c r="B74" s="1">
        <v>74</v>
      </c>
      <c r="C74" s="18"/>
      <c r="F74" s="11" t="str">
        <f>HYPERLINK("http://www.biblegateway.com/passage/?search=Exodus%2011:4-8&amp;version=NIV",A74)</f>
        <v>Exodus 11:4-8</v>
      </c>
    </row>
    <row r="75" spans="1:6" x14ac:dyDescent="0.3">
      <c r="A75" s="3" t="s">
        <v>39</v>
      </c>
      <c r="B75" s="1">
        <v>75</v>
      </c>
      <c r="C75" s="18"/>
      <c r="F75" s="11" t="str">
        <f>HYPERLINK("http://www.biblegateway.com/passage/?search=Exodus%2012:1-3,5-8,%2011-13,%2021-24,%2028-33,%2040-41&amp;version=NIV",A75)</f>
        <v>Exodus 12:1-3,5-8, 11-13, 21-24, 28-33, 40-41</v>
      </c>
    </row>
    <row r="76" spans="1:6" ht="31.5" x14ac:dyDescent="0.3">
      <c r="A76" s="4" t="s">
        <v>400</v>
      </c>
      <c r="B76" s="1">
        <v>76</v>
      </c>
      <c r="C76" s="18"/>
      <c r="E76" s="13" t="s">
        <v>633</v>
      </c>
      <c r="F76" s="12" t="str">
        <f>TRIM(MID(A76,FIND(":",A76)+2,500))</f>
        <v>Short transition. Tell of the Lord bringing the Israelites out of Egypt. Transition into…</v>
      </c>
    </row>
    <row r="77" spans="1:6" x14ac:dyDescent="0.3">
      <c r="A77" s="3" t="s">
        <v>40</v>
      </c>
      <c r="B77" s="1">
        <v>77</v>
      </c>
      <c r="C77" s="18"/>
      <c r="F77" s="11" t="str">
        <f>HYPERLINK("http://www.biblegateway.com/passage/?search=Exodus%2013:21-22&amp;version=NIV",A77)</f>
        <v>Exodus 13:21-22</v>
      </c>
    </row>
    <row r="78" spans="1:6" x14ac:dyDescent="0.3">
      <c r="A78" s="3" t="s">
        <v>41</v>
      </c>
      <c r="B78" s="1">
        <v>78</v>
      </c>
      <c r="C78" s="18"/>
      <c r="F78" s="11" t="str">
        <f>HYPERLINK("http://www.biblegateway.com/passage/?search=Exodus%2014:1-29&amp;version=NIV",A78)</f>
        <v>Exodus 14:1-29</v>
      </c>
    </row>
    <row r="79" spans="1:6" ht="31.5" x14ac:dyDescent="0.3">
      <c r="A79" s="3" t="s">
        <v>401</v>
      </c>
      <c r="B79" s="1">
        <v>79</v>
      </c>
      <c r="C79" s="18"/>
      <c r="E79" s="13" t="s">
        <v>633</v>
      </c>
      <c r="F79" s="12" t="s">
        <v>637</v>
      </c>
    </row>
    <row r="80" spans="1:6" x14ac:dyDescent="0.3">
      <c r="A80" s="3" t="s">
        <v>42</v>
      </c>
      <c r="B80" s="1">
        <v>80</v>
      </c>
      <c r="C80" s="18"/>
      <c r="F80" s="11" t="str">
        <f>HYPERLINK("http://www.biblegateway.com/passage/?search=Exodus%2015:22-27&amp;version=NIV",A80)</f>
        <v>Exodus 15:22-27</v>
      </c>
    </row>
    <row r="81" spans="1:6" x14ac:dyDescent="0.3">
      <c r="A81" s="3" t="s">
        <v>43</v>
      </c>
      <c r="B81" s="1">
        <v>81</v>
      </c>
      <c r="C81" s="18"/>
      <c r="F81" s="11" t="str">
        <f>HYPERLINK("http://www.biblegateway.com/passage/?search=Exodus%2016:1-3,%206-15&amp;version=NIV",A81)</f>
        <v>Exodus 16:1-3, 6-15</v>
      </c>
    </row>
    <row r="82" spans="1:6" x14ac:dyDescent="0.3">
      <c r="A82" s="4" t="s">
        <v>402</v>
      </c>
      <c r="B82" s="1">
        <v>82</v>
      </c>
      <c r="C82" s="18"/>
      <c r="E82" s="13" t="s">
        <v>633</v>
      </c>
      <c r="F82" s="12" t="str">
        <f>TRIM(MID(A82,FIND(":",A82)+2,500))</f>
        <v>Short transition explaining manna</v>
      </c>
    </row>
    <row r="83" spans="1:6" x14ac:dyDescent="0.3">
      <c r="A83" s="3" t="s">
        <v>44</v>
      </c>
      <c r="B83" s="1">
        <v>83</v>
      </c>
      <c r="C83" s="18"/>
      <c r="F83" s="11" t="str">
        <f>HYPERLINK("http://www.biblegateway.com/passage/?search=Exodus%2017:1-7&amp;version=NIV",A83)</f>
        <v>Exodus 17:1-7</v>
      </c>
    </row>
    <row r="84" spans="1:6" x14ac:dyDescent="0.3">
      <c r="B84" s="1">
        <v>84</v>
      </c>
    </row>
    <row r="85" spans="1:6" x14ac:dyDescent="0.3">
      <c r="B85" s="1">
        <v>85</v>
      </c>
      <c r="C85" s="16" t="s">
        <v>622</v>
      </c>
    </row>
    <row r="86" spans="1:6" ht="18" x14ac:dyDescent="0.25">
      <c r="B86" s="1">
        <v>86</v>
      </c>
      <c r="D86" s="20" t="s">
        <v>623</v>
      </c>
    </row>
    <row r="87" spans="1:6" x14ac:dyDescent="0.3">
      <c r="A87" s="3" t="s">
        <v>45</v>
      </c>
      <c r="B87" s="1">
        <v>87</v>
      </c>
      <c r="C87" s="18"/>
      <c r="F87" s="11" t="str">
        <f>HYPERLINK("http://www.biblegateway.com/passage/?search=Exodus%2019:1-6,%209-25;&amp;version=NIV",A87)</f>
        <v>Exodus 19:1-6, 9-25;</v>
      </c>
    </row>
    <row r="88" spans="1:6" x14ac:dyDescent="0.3">
      <c r="A88" s="3" t="s">
        <v>46</v>
      </c>
      <c r="B88" s="1">
        <v>88</v>
      </c>
      <c r="C88" s="18"/>
      <c r="F88" s="11" t="str">
        <f>HYPERLINK("http://www.biblegateway.com/passage/?search=Exodus%2020:18-21&amp;version=NIV",A88)</f>
        <v>Exodus 20:18-21</v>
      </c>
    </row>
    <row r="89" spans="1:6" x14ac:dyDescent="0.3">
      <c r="A89" s="4" t="s">
        <v>403</v>
      </c>
      <c r="B89" s="1">
        <v>89</v>
      </c>
      <c r="C89" s="18"/>
      <c r="E89" s="13" t="s">
        <v>633</v>
      </c>
      <c r="F89" s="12" t="str">
        <f>TRIM(MID(A89,FIND(":",A89)+2,500))</f>
        <v>Short transition to the 10 commandments</v>
      </c>
    </row>
    <row r="90" spans="1:6" x14ac:dyDescent="0.3">
      <c r="A90" s="3" t="s">
        <v>47</v>
      </c>
      <c r="B90" s="1">
        <v>90</v>
      </c>
      <c r="C90" s="18"/>
      <c r="F90" s="11" t="str">
        <f>HYPERLINK("http://www.biblegateway.com/passage/?search=Exodus%2020:2-17&amp;version=NIV",A90)</f>
        <v>Exodus 20:2-17</v>
      </c>
    </row>
    <row r="91" spans="1:6" x14ac:dyDescent="0.3">
      <c r="A91" s="4" t="s">
        <v>404</v>
      </c>
      <c r="B91" s="1">
        <v>91</v>
      </c>
      <c r="C91" s="18"/>
      <c r="E91" s="13" t="s">
        <v>633</v>
      </c>
      <c r="F91" s="12" t="str">
        <f>TRIM(MID(A91,FIND(":",A91)+2,500))</f>
        <v>Short transition about the book of the covenant</v>
      </c>
    </row>
    <row r="92" spans="1:6" x14ac:dyDescent="0.3">
      <c r="A92" s="3" t="s">
        <v>48</v>
      </c>
      <c r="B92" s="1">
        <v>92</v>
      </c>
      <c r="C92" s="18"/>
      <c r="F92" s="11" t="str">
        <f>HYPERLINK("http://www.biblegateway.com/passage/?search=Exodus%2024:3-8,12;&amp;version=NIV",A92)</f>
        <v>Exodus 24:3-8,12;</v>
      </c>
    </row>
    <row r="93" spans="1:6" x14ac:dyDescent="0.3">
      <c r="A93" s="3" t="s">
        <v>552</v>
      </c>
      <c r="B93" s="1">
        <v>93</v>
      </c>
      <c r="C93" s="18"/>
      <c r="F93" s="11" t="str">
        <f>HYPERLINK("http://www.biblegateway.com/passage/?search=Exodus%2024:15-25:2,%208-9&amp;version=NIV",A93)</f>
        <v>Exodus 24:15-25:2, 8-9</v>
      </c>
    </row>
    <row r="94" spans="1:6" x14ac:dyDescent="0.3">
      <c r="A94" s="5" t="s">
        <v>405</v>
      </c>
      <c r="B94" s="1">
        <v>94</v>
      </c>
      <c r="C94" s="18"/>
      <c r="E94" s="13" t="s">
        <v>633</v>
      </c>
      <c r="F94" s="12" t="str">
        <f>TRIM(MID(A94,FIND(":",A94)+2,500))</f>
        <v>Short transition leading to the golden calf</v>
      </c>
    </row>
    <row r="95" spans="1:6" x14ac:dyDescent="0.3">
      <c r="A95" s="3" t="s">
        <v>49</v>
      </c>
      <c r="B95" s="1">
        <v>95</v>
      </c>
      <c r="C95" s="18"/>
      <c r="F95" s="11" t="str">
        <f>HYPERLINK("http://www.biblegateway.com/passage/?search=Exodus%2032:1-35&amp;version=NIV",A95)</f>
        <v>Exodus 32:1-35</v>
      </c>
    </row>
    <row r="96" spans="1:6" x14ac:dyDescent="0.3">
      <c r="A96" s="3" t="s">
        <v>50</v>
      </c>
      <c r="B96" s="1">
        <v>96</v>
      </c>
      <c r="C96" s="18"/>
      <c r="F96" s="11" t="str">
        <f>HYPERLINK("http://www.biblegateway.com/passage/?search=Exodus%2033:1-3,%207-23&amp;version=NIV",A96)</f>
        <v>Exodus 33:1-3, 7-23</v>
      </c>
    </row>
    <row r="97" spans="1:6" x14ac:dyDescent="0.3">
      <c r="A97" s="3" t="s">
        <v>51</v>
      </c>
      <c r="B97" s="1">
        <v>97</v>
      </c>
      <c r="C97" s="18"/>
      <c r="F97" s="11" t="str">
        <f>HYPERLINK("http://www.biblegateway.com/passage/?search=Exodus%2034:1-10,%2014,%2027-35&amp;version=NIV",A97)</f>
        <v>Exodus 34:1-10, 14, 27-35</v>
      </c>
    </row>
    <row r="98" spans="1:6" ht="47.25" x14ac:dyDescent="0.3">
      <c r="A98" s="4" t="s">
        <v>406</v>
      </c>
      <c r="B98" s="1">
        <v>98</v>
      </c>
      <c r="C98" s="18"/>
      <c r="E98" s="13" t="s">
        <v>633</v>
      </c>
      <c r="F98" s="12" t="str">
        <f>TRIM(MID(A98,FIND(":",A98)+2,500))</f>
        <v>Long transition explaining the construction of the ark and the tabernacle. Include the setting up of the tabernacle and lead into the glory of God filling the tabernacle.</v>
      </c>
    </row>
    <row r="99" spans="1:6" x14ac:dyDescent="0.3">
      <c r="A99" s="3" t="s">
        <v>52</v>
      </c>
      <c r="B99" s="1">
        <v>99</v>
      </c>
      <c r="C99" s="18"/>
      <c r="F99" s="11" t="str">
        <f>HYPERLINK("http://www.biblegateway.com/passage/?search=Exodus%2040:34-38%20%20&amp;version=NIV",A99)</f>
        <v xml:space="preserve">Exodus 40:34-38  </v>
      </c>
    </row>
    <row r="100" spans="1:6" ht="47.25" x14ac:dyDescent="0.3">
      <c r="A100" s="4" t="s">
        <v>407</v>
      </c>
      <c r="B100" s="1">
        <v>100</v>
      </c>
      <c r="C100" s="18"/>
      <c r="E100" s="13" t="s">
        <v>633</v>
      </c>
      <c r="F100" s="12" t="str">
        <f>TRIM(MID(A100,FIND(":",A100)+2,500))</f>
        <v>Long transition explaining that the Israelites stayed in the desert receiving instructions about the law (briefly explain sacrificial system) and then transition into God leading them onward</v>
      </c>
    </row>
    <row r="101" spans="1:6" x14ac:dyDescent="0.3">
      <c r="B101" s="1">
        <v>101</v>
      </c>
    </row>
    <row r="102" spans="1:6" x14ac:dyDescent="0.3">
      <c r="B102" s="1">
        <v>102</v>
      </c>
      <c r="C102" s="16" t="s">
        <v>624</v>
      </c>
    </row>
    <row r="103" spans="1:6" ht="18" x14ac:dyDescent="0.25">
      <c r="B103" s="1">
        <v>103</v>
      </c>
      <c r="D103" s="20" t="s">
        <v>625</v>
      </c>
    </row>
    <row r="104" spans="1:6" x14ac:dyDescent="0.3">
      <c r="A104" s="3" t="s">
        <v>53</v>
      </c>
      <c r="B104" s="1">
        <v>104</v>
      </c>
      <c r="C104" s="18"/>
      <c r="F104" s="11" t="str">
        <f>HYPERLINK("http://www.biblegateway.com/passage/?search=Numbers%2010:11-13&amp;version=NIV",A104)</f>
        <v>Numbers 10:11-13</v>
      </c>
    </row>
    <row r="105" spans="1:6" x14ac:dyDescent="0.3">
      <c r="A105" s="4" t="s">
        <v>408</v>
      </c>
      <c r="B105" s="1">
        <v>105</v>
      </c>
      <c r="C105" s="18"/>
      <c r="E105" s="13" t="s">
        <v>633</v>
      </c>
      <c r="F105" s="12" t="str">
        <f>TRIM(MID(A105,FIND(":",A105)+2,500))</f>
        <v>Short Transition: organization of camp, marching</v>
      </c>
    </row>
    <row r="106" spans="1:6" x14ac:dyDescent="0.3">
      <c r="A106" s="6" t="s">
        <v>54</v>
      </c>
      <c r="B106" s="1">
        <v>106</v>
      </c>
      <c r="C106" s="18"/>
      <c r="F106" s="11" t="str">
        <f>HYPERLINK("http://www.biblegateway.com/passage/?search=Numbers%2011:1-15,%2016a,%2018-23,31-34&amp;version=NIV",A106)</f>
        <v>Numbers 11:1-15, 16a, 18-23,31-34</v>
      </c>
    </row>
    <row r="107" spans="1:6" x14ac:dyDescent="0.3">
      <c r="A107" s="5" t="s">
        <v>409</v>
      </c>
      <c r="B107" s="1">
        <v>107</v>
      </c>
      <c r="C107" s="18"/>
      <c r="E107" s="13" t="s">
        <v>633</v>
      </c>
      <c r="F107" s="12" t="str">
        <f>TRIM(MID(A107,FIND(":",A107)+2,500))</f>
        <v>Transition to story of Miriam and Aaron</v>
      </c>
    </row>
    <row r="108" spans="1:6" x14ac:dyDescent="0.3">
      <c r="A108" s="6" t="s">
        <v>55</v>
      </c>
      <c r="B108" s="1">
        <v>108</v>
      </c>
      <c r="C108" s="18"/>
      <c r="F108" s="11" t="str">
        <f>HYPERLINK("http://www.biblegateway.com/passage/?search=Numbers%2012:1-16&amp;version=NIV",A108)</f>
        <v>Numbers 12:1-16</v>
      </c>
    </row>
    <row r="109" spans="1:6" x14ac:dyDescent="0.3">
      <c r="A109" s="3" t="s">
        <v>56</v>
      </c>
      <c r="B109" s="1">
        <v>109</v>
      </c>
      <c r="C109" s="18"/>
      <c r="F109" s="11" t="str">
        <f>HYPERLINK("http://www.biblegateway.com/passage/?search=Numbers%2013:1-2,%2017-21,%2023,%2025-28,%2030-33&amp;version=NIV",A109)</f>
        <v>Numbers 13:1-2, 17-21, 23, 25-28, 30-33</v>
      </c>
    </row>
    <row r="110" spans="1:6" x14ac:dyDescent="0.3">
      <c r="A110" s="3" t="s">
        <v>57</v>
      </c>
      <c r="B110" s="1">
        <v>110</v>
      </c>
      <c r="C110" s="18"/>
      <c r="F110" s="11" t="str">
        <f>HYPERLINK("http://www.biblegateway.com/passage/?search=Numbers%2014:1-35&amp;version=NIV",A110)</f>
        <v>Numbers 14:1-35</v>
      </c>
    </row>
    <row r="111" spans="1:6" x14ac:dyDescent="0.3">
      <c r="A111" s="4" t="s">
        <v>410</v>
      </c>
      <c r="B111" s="1">
        <v>111</v>
      </c>
      <c r="C111" s="18"/>
      <c r="E111" s="13" t="s">
        <v>633</v>
      </c>
      <c r="F111" s="12" t="str">
        <f>TRIM(MID(A111,FIND(":",A111)+2,500))</f>
        <v>Transition to set up the new generation</v>
      </c>
    </row>
    <row r="112" spans="1:6" x14ac:dyDescent="0.3">
      <c r="A112" s="3" t="s">
        <v>58</v>
      </c>
      <c r="B112" s="1">
        <v>112</v>
      </c>
      <c r="C112" s="18"/>
      <c r="F112" s="11" t="str">
        <f>HYPERLINK("http://www.biblegateway.com/passage/?search=Numbers%2020:1-13&amp;version=NIV",A112)</f>
        <v>Numbers 20:1-13</v>
      </c>
    </row>
    <row r="113" spans="1:6" ht="47.25" x14ac:dyDescent="0.3">
      <c r="A113" s="4" t="s">
        <v>411</v>
      </c>
      <c r="B113" s="1">
        <v>113</v>
      </c>
      <c r="C113" s="18"/>
      <c r="E113" s="13" t="s">
        <v>633</v>
      </c>
      <c r="F113" s="23" t="s">
        <v>638</v>
      </c>
    </row>
    <row r="114" spans="1:6" x14ac:dyDescent="0.3">
      <c r="A114" s="3" t="s">
        <v>59</v>
      </c>
      <c r="B114" s="1">
        <v>114</v>
      </c>
      <c r="C114" s="18"/>
      <c r="F114" s="11" t="str">
        <f>HYPERLINK("http://www.biblegateway.com/passage/?search=Numbers%2020:22-29&amp;version=NIV",A114)</f>
        <v>Numbers 20:22-29</v>
      </c>
    </row>
    <row r="115" spans="1:6" x14ac:dyDescent="0.3">
      <c r="A115" s="3" t="s">
        <v>60</v>
      </c>
      <c r="B115" s="1">
        <v>115</v>
      </c>
      <c r="C115" s="18"/>
      <c r="F115" s="11" t="str">
        <f>HYPERLINK("http://www.biblegateway.com/passage/?search=Numbers%2021:1-9&amp;version=NIV",A115)</f>
        <v>Numbers 21:1-9</v>
      </c>
    </row>
    <row r="116" spans="1:6" ht="31.5" x14ac:dyDescent="0.3">
      <c r="A116" s="4" t="s">
        <v>412</v>
      </c>
      <c r="B116" s="1">
        <v>116</v>
      </c>
      <c r="C116" s="18"/>
      <c r="E116" s="13" t="s">
        <v>633</v>
      </c>
      <c r="F116" s="12" t="str">
        <f>TRIM(MID(A116,FIND(":",A116)+2,500))</f>
        <v>Explain that the Israelites kept wandering as a punishment for their sin, lead into story of Defeating the Kings</v>
      </c>
    </row>
    <row r="117" spans="1:6" x14ac:dyDescent="0.3">
      <c r="A117" s="3" t="s">
        <v>61</v>
      </c>
      <c r="B117" s="1">
        <v>117</v>
      </c>
      <c r="C117" s="18"/>
      <c r="F117" s="11" t="str">
        <f>HYPERLINK("http://www.biblegateway.com/passage/?search=Numbers%2021:%2021-26,%2031-35%20%20&amp;version=NIV",A117)</f>
        <v xml:space="preserve">Numbers 21: 21-26, 31-35  </v>
      </c>
    </row>
    <row r="118" spans="1:6" ht="31.5" x14ac:dyDescent="0.3">
      <c r="A118" s="4" t="s">
        <v>413</v>
      </c>
      <c r="B118" s="1">
        <v>118</v>
      </c>
      <c r="C118" s="18"/>
      <c r="E118" s="13" t="s">
        <v>633</v>
      </c>
      <c r="F118" s="12" t="str">
        <f>TRIM(MID(A118,FIND(":",A118)+2,500))</f>
        <v>Long transition explaining that Israel continues to wander, tell story of Balaam and his donkey, transition into Israel in Shittim.</v>
      </c>
    </row>
    <row r="119" spans="1:6" x14ac:dyDescent="0.3">
      <c r="A119" s="3" t="s">
        <v>62</v>
      </c>
      <c r="B119" s="1">
        <v>119</v>
      </c>
      <c r="C119" s="18"/>
      <c r="F119" s="11" t="str">
        <f>HYPERLINK("http://www.biblegateway.com/passage/?search=Numbers%2025:1-13&amp;version=NIV",A119)</f>
        <v>Numbers 25:1-13</v>
      </c>
    </row>
    <row r="120" spans="1:6" ht="31.5" x14ac:dyDescent="0.3">
      <c r="A120" s="4" t="s">
        <v>414</v>
      </c>
      <c r="B120" s="1">
        <v>120</v>
      </c>
      <c r="C120" s="18"/>
      <c r="E120" s="13" t="s">
        <v>633</v>
      </c>
      <c r="F120" s="12" t="s">
        <v>639</v>
      </c>
    </row>
    <row r="121" spans="1:6" x14ac:dyDescent="0.3">
      <c r="A121" s="3" t="s">
        <v>63</v>
      </c>
      <c r="B121" s="1">
        <v>121</v>
      </c>
      <c r="C121" s="18"/>
      <c r="F121" s="11" t="str">
        <f>HYPERLINK("http://www.biblegateway.com/passage/?search=Numbers%2027:12-20,%2022-23&amp;version=NIV",A121)</f>
        <v>Numbers 27:12-20, 22-23</v>
      </c>
    </row>
    <row r="122" spans="1:6" x14ac:dyDescent="0.3">
      <c r="A122" s="4" t="s">
        <v>415</v>
      </c>
      <c r="B122" s="1">
        <v>122</v>
      </c>
      <c r="C122" s="18"/>
      <c r="E122" s="13" t="s">
        <v>633</v>
      </c>
      <c r="F122" s="12" t="s">
        <v>640</v>
      </c>
    </row>
    <row r="123" spans="1:6" x14ac:dyDescent="0.3">
      <c r="A123" s="3" t="s">
        <v>64</v>
      </c>
      <c r="B123" s="1">
        <v>123</v>
      </c>
      <c r="C123" s="18"/>
      <c r="F123" s="11" t="str">
        <f>HYPERLINK("http://www.biblegateway.com/passage/?search=Deuteronomy%201:1a&amp;version=NIV",A123)</f>
        <v>Deuteronomy 1:1a</v>
      </c>
    </row>
    <row r="124" spans="1:6" x14ac:dyDescent="0.3">
      <c r="A124" s="3" t="s">
        <v>65</v>
      </c>
      <c r="B124" s="1">
        <v>124</v>
      </c>
      <c r="C124" s="18"/>
      <c r="F124" s="11" t="str">
        <f>HYPERLINK("http://www.biblegateway.com/passage/?search=Deuteronomy%202:7&amp;version=NIV",A124)</f>
        <v>Deuteronomy 2:7</v>
      </c>
    </row>
    <row r="125" spans="1:6" x14ac:dyDescent="0.3">
      <c r="A125" s="3" t="s">
        <v>66</v>
      </c>
      <c r="B125" s="1">
        <v>125</v>
      </c>
      <c r="C125" s="18"/>
      <c r="F125" s="11" t="str">
        <f>HYPERLINK("http://www.biblegateway.com/passage/?search=Deuteronomy%204:32-40&amp;version=NIV",A125)</f>
        <v>Deuteronomy 4:32-40</v>
      </c>
    </row>
    <row r="126" spans="1:6" x14ac:dyDescent="0.3">
      <c r="A126" s="3" t="s">
        <v>67</v>
      </c>
      <c r="B126" s="1">
        <v>126</v>
      </c>
      <c r="C126" s="18"/>
      <c r="F126" s="11" t="str">
        <f>HYPERLINK("http://www.biblegateway.com/passage/?search=Deuteronomy%206:4-7&amp;version=NIV",A126)</f>
        <v>Deuteronomy 6:4-7</v>
      </c>
    </row>
    <row r="127" spans="1:6" x14ac:dyDescent="0.3">
      <c r="A127" s="3" t="s">
        <v>68</v>
      </c>
      <c r="B127" s="1">
        <v>127</v>
      </c>
      <c r="C127" s="18"/>
      <c r="F127" s="11" t="str">
        <f>HYPERLINK("http://www.biblegateway.com/passage/?search=Deuteronomy%208:1-5&amp;version=NIV",A127)</f>
        <v>Deuteronomy 8:1-5</v>
      </c>
    </row>
    <row r="128" spans="1:6" x14ac:dyDescent="0.3">
      <c r="A128" s="3" t="s">
        <v>69</v>
      </c>
      <c r="B128" s="1">
        <v>128</v>
      </c>
      <c r="C128" s="18"/>
      <c r="F128" s="11" t="str">
        <f>HYPERLINK("http://www.biblegateway.com/passage/?search=Deuteronomy%209:1-6&amp;version=NIV",A128)</f>
        <v>Deuteronomy 9:1-6</v>
      </c>
    </row>
    <row r="129" spans="1:6" x14ac:dyDescent="0.3">
      <c r="A129" s="3" t="s">
        <v>70</v>
      </c>
      <c r="B129" s="1">
        <v>129</v>
      </c>
      <c r="C129" s="18"/>
      <c r="F129" s="11" t="str">
        <f>HYPERLINK("http://www.biblegateway.com/passage/?search=Deuteronomy%2029:2-6&amp;version=NIV",A129)</f>
        <v>Deuteronomy 29:2-6</v>
      </c>
    </row>
    <row r="130" spans="1:6" x14ac:dyDescent="0.3">
      <c r="A130" s="3" t="s">
        <v>71</v>
      </c>
      <c r="B130" s="1">
        <v>130</v>
      </c>
      <c r="C130" s="18"/>
      <c r="F130" s="11" t="str">
        <f>HYPERLINK("http://www.biblegateway.com/passage/?search=Deuteronomy%2030:11-20&amp;version=NIV",A130)</f>
        <v>Deuteronomy 30:11-20</v>
      </c>
    </row>
    <row r="131" spans="1:6" x14ac:dyDescent="0.3">
      <c r="A131" s="4" t="s">
        <v>416</v>
      </c>
      <c r="B131" s="1">
        <v>131</v>
      </c>
      <c r="C131" s="18"/>
      <c r="E131" s="13" t="s">
        <v>633</v>
      </c>
      <c r="F131" s="12" t="str">
        <f>TRIM(MID(A131,FIND(":",A131)+2,500))</f>
        <v>Short transition into the prayer of Moses.</v>
      </c>
    </row>
    <row r="132" spans="1:6" x14ac:dyDescent="0.3">
      <c r="A132" s="3" t="s">
        <v>72</v>
      </c>
      <c r="B132" s="1">
        <v>132</v>
      </c>
      <c r="C132" s="18"/>
      <c r="F132" s="11" t="str">
        <f>HYPERLINK("http://www.biblegateway.com/passage/?search=Deuteronomy%2031:7-8&amp;version=NIV",A132)</f>
        <v>Deuteronomy 31:7-8</v>
      </c>
    </row>
    <row r="133" spans="1:6" x14ac:dyDescent="0.3">
      <c r="A133" s="3" t="s">
        <v>73</v>
      </c>
      <c r="B133" s="1">
        <v>133</v>
      </c>
      <c r="C133" s="18"/>
      <c r="F133" s="11" t="str">
        <f>HYPERLINK("http://www.biblegateway.com/passage/?search=Deuteronomy%2032:48-52&amp;version=NIV",A133)</f>
        <v>Deuteronomy 32:48-52</v>
      </c>
    </row>
    <row r="134" spans="1:6" x14ac:dyDescent="0.3">
      <c r="A134" s="3" t="s">
        <v>74</v>
      </c>
      <c r="B134" s="1">
        <v>134</v>
      </c>
      <c r="C134" s="18"/>
      <c r="F134" s="11" t="str">
        <f>HYPERLINK("http://www.biblegateway.com/passage/?search=Deuteronomy%2034:1-8,10-12%20%20&amp;version=NIV",A134)</f>
        <v xml:space="preserve">Deuteronomy 34:1-8,10-12  </v>
      </c>
    </row>
    <row r="135" spans="1:6" x14ac:dyDescent="0.3">
      <c r="B135" s="1">
        <v>135</v>
      </c>
    </row>
    <row r="136" spans="1:6" x14ac:dyDescent="0.3">
      <c r="B136" s="1">
        <v>136</v>
      </c>
      <c r="C136" s="16" t="s">
        <v>626</v>
      </c>
    </row>
    <row r="137" spans="1:6" ht="18" x14ac:dyDescent="0.25">
      <c r="B137" s="1">
        <v>137</v>
      </c>
      <c r="D137" s="20" t="s">
        <v>627</v>
      </c>
    </row>
    <row r="138" spans="1:6" x14ac:dyDescent="0.3">
      <c r="A138" s="3" t="s">
        <v>75</v>
      </c>
      <c r="B138" s="1">
        <v>138</v>
      </c>
      <c r="C138" s="18"/>
      <c r="F138" s="11" t="str">
        <f>HYPERLINK("http://www.biblegateway.com/passage/?search=Joshua%201:1-11,16-18&amp;version=NIV",A138)</f>
        <v>Joshua 1:1-11,16-18</v>
      </c>
    </row>
    <row r="139" spans="1:6" x14ac:dyDescent="0.3">
      <c r="A139" s="3" t="s">
        <v>76</v>
      </c>
      <c r="B139" s="1">
        <v>139</v>
      </c>
      <c r="C139" s="18"/>
      <c r="F139" s="11" t="str">
        <f>HYPERLINK("http://www.biblegateway.com/passage/?search=Joshua%202:1-16,%2022-24&amp;version=NIV",A139)</f>
        <v>Joshua 2:1-16, 22-24</v>
      </c>
    </row>
    <row r="140" spans="1:6" x14ac:dyDescent="0.3">
      <c r="A140" s="4" t="s">
        <v>417</v>
      </c>
      <c r="B140" s="1">
        <v>140</v>
      </c>
      <c r="C140" s="18"/>
      <c r="E140" s="13" t="s">
        <v>633</v>
      </c>
      <c r="F140" s="12" t="str">
        <f>TRIM(MID(A140,FIND(":",A140)+2,500))</f>
        <v>Short transition into the battle</v>
      </c>
    </row>
    <row r="141" spans="1:6" x14ac:dyDescent="0.3">
      <c r="A141" s="3" t="s">
        <v>77</v>
      </c>
      <c r="B141" s="1">
        <v>141</v>
      </c>
      <c r="C141" s="18"/>
      <c r="F141" s="11" t="str">
        <f>HYPERLINK("http://www.biblegateway.com/passage/?search=Joshua%206:1-17,20-26a,%2027&amp;version=NIV",A141)</f>
        <v>Joshua 6:1-17,20-26a, 27</v>
      </c>
    </row>
    <row r="142" spans="1:6" x14ac:dyDescent="0.3">
      <c r="A142" s="4" t="s">
        <v>418</v>
      </c>
      <c r="B142" s="1">
        <v>142</v>
      </c>
      <c r="C142" s="18"/>
      <c r="E142" s="13" t="s">
        <v>633</v>
      </c>
      <c r="F142" s="12" t="s">
        <v>641</v>
      </c>
    </row>
    <row r="143" spans="1:6" x14ac:dyDescent="0.3">
      <c r="A143" s="3" t="s">
        <v>78</v>
      </c>
      <c r="B143" s="1">
        <v>143</v>
      </c>
      <c r="C143" s="18"/>
      <c r="F143" s="11" t="str">
        <f>HYPERLINK("http://www.biblegateway.com/passage/?search=Joshua%208:1-2,10-22,%2025,%2030-31a,34-35&amp;version=NIV",A143)</f>
        <v>Joshua 8:1-2,10-22, 25, 30-31a,34-35</v>
      </c>
    </row>
    <row r="144" spans="1:6" x14ac:dyDescent="0.3">
      <c r="A144" s="4" t="s">
        <v>419</v>
      </c>
      <c r="B144" s="1">
        <v>144</v>
      </c>
      <c r="C144" s="18"/>
      <c r="E144" s="13" t="s">
        <v>633</v>
      </c>
      <c r="F144" s="12" t="s">
        <v>642</v>
      </c>
    </row>
    <row r="145" spans="1:6" x14ac:dyDescent="0.3">
      <c r="A145" s="3" t="s">
        <v>79</v>
      </c>
      <c r="B145" s="1">
        <v>145</v>
      </c>
      <c r="C145" s="18"/>
      <c r="F145" s="11" t="str">
        <f>HYPERLINK("http://www.biblegateway.com/passage/?search=Joshua%2010:1-28,%2040-43&amp;version=NIV",A145)</f>
        <v>Joshua 10:1-28, 40-43</v>
      </c>
    </row>
    <row r="146" spans="1:6" x14ac:dyDescent="0.3">
      <c r="A146" s="3" t="s">
        <v>80</v>
      </c>
      <c r="B146" s="1">
        <v>146</v>
      </c>
      <c r="C146" s="18"/>
      <c r="F146" s="11" t="str">
        <f>HYPERLINK("http://www.biblegateway.com/passage/?search=Joshua%2011:1-15,23&amp;version=NIV",A146)</f>
        <v>Joshua 11:1-15,23</v>
      </c>
    </row>
    <row r="147" spans="1:6" ht="31.5" x14ac:dyDescent="0.3">
      <c r="A147" s="4" t="s">
        <v>420</v>
      </c>
      <c r="B147" s="1">
        <v>147</v>
      </c>
      <c r="C147" s="18"/>
      <c r="E147" s="13" t="s">
        <v>633</v>
      </c>
      <c r="F147" s="12" t="str">
        <f>TRIM(MID(A147,FIND(":",A147)+2,500))</f>
        <v>Short transition explaining that the Israelites conquered many kings and divided up the land.</v>
      </c>
    </row>
    <row r="148" spans="1:6" x14ac:dyDescent="0.3">
      <c r="A148" s="3" t="s">
        <v>81</v>
      </c>
      <c r="B148" s="1">
        <v>148</v>
      </c>
      <c r="C148" s="18"/>
      <c r="F148" s="11" t="str">
        <f>HYPERLINK("http://www.biblegateway.com/passage/?search=Joshua%2023:1-5,%2014-16&amp;version=NIV",A148)</f>
        <v>Joshua 23:1-5, 14-16</v>
      </c>
    </row>
    <row r="149" spans="1:6" x14ac:dyDescent="0.3">
      <c r="A149" s="3" t="s">
        <v>82</v>
      </c>
      <c r="B149" s="1">
        <v>149</v>
      </c>
      <c r="C149" s="18"/>
      <c r="F149" s="11" t="str">
        <f>HYPERLINK("http://www.biblegateway.com/passage/?search=Joshua%2024:1-15,%2024-31&amp;version=NIV",A149)</f>
        <v>Joshua 24:1-15, 24-31</v>
      </c>
    </row>
    <row r="150" spans="1:6" x14ac:dyDescent="0.3">
      <c r="B150" s="1">
        <v>150</v>
      </c>
    </row>
    <row r="151" spans="1:6" x14ac:dyDescent="0.3">
      <c r="B151" s="1">
        <v>151</v>
      </c>
      <c r="C151" s="16" t="s">
        <v>628</v>
      </c>
    </row>
    <row r="152" spans="1:6" ht="18" x14ac:dyDescent="0.25">
      <c r="B152" s="1">
        <v>152</v>
      </c>
      <c r="D152" s="20" t="s">
        <v>629</v>
      </c>
    </row>
    <row r="153" spans="1:6" x14ac:dyDescent="0.3">
      <c r="A153" s="3" t="s">
        <v>83</v>
      </c>
      <c r="B153" s="1">
        <v>153</v>
      </c>
      <c r="C153" s="18"/>
      <c r="F153" s="11" t="str">
        <f>HYPERLINK("http://www.biblegateway.com/passage/?search=Judges%202:7-22&amp;version=NIV",A153)</f>
        <v>Judges 2:7-22</v>
      </c>
    </row>
    <row r="154" spans="1:6" x14ac:dyDescent="0.3">
      <c r="A154" s="3" t="s">
        <v>84</v>
      </c>
      <c r="B154" s="1">
        <v>154</v>
      </c>
      <c r="C154" s="18"/>
      <c r="F154" s="11" t="str">
        <f>HYPERLINK("http://www.biblegateway.com/passage/?search=Judges%203:7-11&amp;version=NIV",A154)</f>
        <v>Judges 3:7-11</v>
      </c>
    </row>
    <row r="155" spans="1:6" x14ac:dyDescent="0.3">
      <c r="A155" s="4" t="s">
        <v>421</v>
      </c>
      <c r="B155" s="1">
        <v>155</v>
      </c>
      <c r="C155" s="18"/>
      <c r="E155" s="13" t="s">
        <v>633</v>
      </c>
      <c r="F155" s="12" t="s">
        <v>643</v>
      </c>
    </row>
    <row r="156" spans="1:6" x14ac:dyDescent="0.3">
      <c r="A156" s="3" t="s">
        <v>85</v>
      </c>
      <c r="B156" s="1">
        <v>156</v>
      </c>
      <c r="C156" s="18"/>
      <c r="F156" s="11" t="str">
        <f>HYPERLINK("http://www.biblegateway.com/passage/?search=Judges%204:1-24&amp;version=NIV",A156)</f>
        <v>Judges 4:1-24</v>
      </c>
    </row>
    <row r="157" spans="1:6" ht="31.5" x14ac:dyDescent="0.3">
      <c r="A157" s="4" t="s">
        <v>422</v>
      </c>
      <c r="B157" s="1">
        <v>157</v>
      </c>
      <c r="C157" s="18"/>
      <c r="E157" s="13" t="s">
        <v>633</v>
      </c>
      <c r="F157" s="12" t="str">
        <f>TRIM(MID(A157,FIND(":",A157)+2,500))</f>
        <v>Short transition telling of Israel’s constant turning away, and God’s raising up many judges. Transition into story of Gideon</v>
      </c>
    </row>
    <row r="158" spans="1:6" x14ac:dyDescent="0.3">
      <c r="A158" s="3" t="s">
        <v>86</v>
      </c>
      <c r="B158" s="1">
        <v>158</v>
      </c>
      <c r="C158" s="18"/>
      <c r="F158" s="11" t="str">
        <f>HYPERLINK("http://www.biblegateway.com/passage/?search=Judges%206:1-10&amp;version=NIV",A158)</f>
        <v>Judges 6:1-10</v>
      </c>
    </row>
    <row r="159" spans="1:6" x14ac:dyDescent="0.3">
      <c r="A159" s="4" t="s">
        <v>423</v>
      </c>
      <c r="B159" s="1">
        <v>159</v>
      </c>
      <c r="C159" s="18"/>
      <c r="E159" s="13" t="s">
        <v>633</v>
      </c>
      <c r="F159" s="12" t="str">
        <f>TRIM(MID(A159,FIND(":",A159)+2,500))</f>
        <v>Short transition into God appearing to Gideon</v>
      </c>
    </row>
    <row r="160" spans="1:6" x14ac:dyDescent="0.3">
      <c r="A160" s="3" t="s">
        <v>87</v>
      </c>
      <c r="B160" s="1">
        <v>160</v>
      </c>
      <c r="C160" s="18"/>
      <c r="F160" s="11" t="str">
        <f>HYPERLINK("http://www.biblegateway.com/passage/?search=Judges%206:11-24,33-40&amp;version=NIV",A160)</f>
        <v>Judges 6:11-24,33-40</v>
      </c>
    </row>
    <row r="161" spans="1:6" x14ac:dyDescent="0.3">
      <c r="A161" s="3" t="s">
        <v>88</v>
      </c>
      <c r="B161" s="1">
        <v>161</v>
      </c>
      <c r="C161" s="18"/>
      <c r="F161" s="11" t="str">
        <f>HYPERLINK("http://www.biblegateway.com/passage/?search=Judges7:1-25&amp;version=NIV",A161)</f>
        <v>Judges7:1-25</v>
      </c>
    </row>
    <row r="162" spans="1:6" x14ac:dyDescent="0.3">
      <c r="A162" s="3" t="s">
        <v>89</v>
      </c>
      <c r="B162" s="1">
        <v>162</v>
      </c>
      <c r="C162" s="18"/>
      <c r="F162" s="11" t="str">
        <f>HYPERLINK("http://www.biblegateway.com/passage/?search=Judges%208:28,%2033-34&amp;version=NIV",A162)</f>
        <v>Judges 8:28, 33-34</v>
      </c>
    </row>
    <row r="163" spans="1:6" ht="47.25" x14ac:dyDescent="0.3">
      <c r="A163" s="4" t="s">
        <v>424</v>
      </c>
      <c r="B163" s="1">
        <v>163</v>
      </c>
      <c r="C163" s="18"/>
      <c r="E163" s="13" t="s">
        <v>633</v>
      </c>
      <c r="F163" s="12" t="str">
        <f>TRIM(MID(A163,FIND(":",A163)+2,500))</f>
        <v>Short transition explaining that Israel continued in their disobedience, and God continued to raise up judges. Transition into story of Samson</v>
      </c>
    </row>
    <row r="164" spans="1:6" x14ac:dyDescent="0.3">
      <c r="A164" s="3" t="s">
        <v>90</v>
      </c>
      <c r="B164" s="1">
        <v>164</v>
      </c>
      <c r="C164" s="18"/>
      <c r="F164" s="11" t="str">
        <f>HYPERLINK("http://www.biblegateway.com/passage/?search=Judges%2013:1-5&amp;version=NIV",A164)</f>
        <v>Judges 13:1-5</v>
      </c>
    </row>
    <row r="165" spans="1:6" x14ac:dyDescent="0.3">
      <c r="A165" s="4" t="s">
        <v>425</v>
      </c>
      <c r="B165" s="1">
        <v>165</v>
      </c>
      <c r="C165" s="18"/>
      <c r="E165" s="13" t="s">
        <v>633</v>
      </c>
      <c r="F165" s="12" t="str">
        <f>TRIM(MID(A165,FIND(":",A165)+2,500))</f>
        <v>Short transition into the birth of Samson</v>
      </c>
    </row>
    <row r="166" spans="1:6" x14ac:dyDescent="0.3">
      <c r="A166" s="3" t="s">
        <v>91</v>
      </c>
      <c r="B166" s="1">
        <v>166</v>
      </c>
      <c r="C166" s="18"/>
      <c r="F166" s="11" t="str">
        <f>HYPERLINK("http://www.biblegateway.com/passage/?search=Judges%2013:24-25&amp;version=NIV",A166)</f>
        <v>Judges 13:24-25</v>
      </c>
    </row>
    <row r="167" spans="1:6" x14ac:dyDescent="0.3">
      <c r="A167" s="3" t="s">
        <v>553</v>
      </c>
      <c r="B167" s="1">
        <v>167</v>
      </c>
      <c r="C167" s="18"/>
      <c r="F167" s="11" t="str">
        <f>HYPERLINK("http://www.biblegateway.com/passage/?search=Judges%2014:1-16:31&amp;version=NIV",A167)</f>
        <v>Judges 14:1-16:31</v>
      </c>
    </row>
    <row r="168" spans="1:6" x14ac:dyDescent="0.3">
      <c r="A168" s="4" t="s">
        <v>426</v>
      </c>
      <c r="B168" s="1">
        <v>168</v>
      </c>
      <c r="C168" s="18"/>
      <c r="E168" s="13" t="s">
        <v>633</v>
      </c>
      <c r="F168" s="12" t="str">
        <f>TRIM(MID(A168,FIND(":",A168)+2,500))</f>
        <v>Long transition into the story of Ruth</v>
      </c>
    </row>
    <row r="169" spans="1:6" x14ac:dyDescent="0.3">
      <c r="B169" s="1">
        <v>169</v>
      </c>
    </row>
    <row r="170" spans="1:6" x14ac:dyDescent="0.3">
      <c r="B170" s="1">
        <v>170</v>
      </c>
      <c r="C170" s="16" t="s">
        <v>630</v>
      </c>
    </row>
    <row r="171" spans="1:6" ht="18" x14ac:dyDescent="0.25">
      <c r="B171" s="1">
        <v>171</v>
      </c>
      <c r="D171" s="20" t="s">
        <v>631</v>
      </c>
    </row>
    <row r="172" spans="1:6" x14ac:dyDescent="0.3">
      <c r="A172" s="3" t="s">
        <v>554</v>
      </c>
      <c r="B172" s="1">
        <v>172</v>
      </c>
      <c r="C172" s="18"/>
      <c r="F172" s="11" t="str">
        <f>HYPERLINK("http://www.biblegateway.com/passage/?search=Ruth%201:1-4:17&amp;version=NIV",A172)</f>
        <v>Ruth 1:1-4:17</v>
      </c>
    </row>
    <row r="173" spans="1:6" x14ac:dyDescent="0.3">
      <c r="A173" s="4" t="s">
        <v>427</v>
      </c>
      <c r="B173" s="1">
        <v>173</v>
      </c>
      <c r="C173" s="18"/>
      <c r="E173" s="13" t="s">
        <v>633</v>
      </c>
      <c r="F173" s="12" t="str">
        <f>TRIM(MID(A173,FIND(":",A173)+2,500))</f>
        <v>Short transition to the birth of Samuel</v>
      </c>
    </row>
    <row r="174" spans="1:6" x14ac:dyDescent="0.3">
      <c r="B174" s="1">
        <v>174</v>
      </c>
    </row>
    <row r="175" spans="1:6" x14ac:dyDescent="0.3">
      <c r="B175" s="1">
        <v>175</v>
      </c>
      <c r="C175" s="16" t="s">
        <v>572</v>
      </c>
    </row>
    <row r="176" spans="1:6" ht="18" x14ac:dyDescent="0.25">
      <c r="B176" s="1">
        <v>176</v>
      </c>
      <c r="D176" s="20" t="s">
        <v>573</v>
      </c>
    </row>
    <row r="177" spans="1:6" x14ac:dyDescent="0.3">
      <c r="A177" s="3" t="s">
        <v>555</v>
      </c>
      <c r="B177" s="1">
        <v>177</v>
      </c>
      <c r="C177" s="18"/>
      <c r="F177" s="11" t="str">
        <f>HYPERLINK("http://www.biblegateway.com/passage/?search=1%20Samuel%201:1-2:2;%202:19-21&amp;version=NIV",A177)</f>
        <v>1 Samuel 1:1-2:2; 2:19-21</v>
      </c>
    </row>
    <row r="178" spans="1:6" x14ac:dyDescent="0.3">
      <c r="A178" s="3" t="s">
        <v>556</v>
      </c>
      <c r="B178" s="1">
        <v>178</v>
      </c>
      <c r="C178" s="18"/>
      <c r="F178" s="11" t="str">
        <f>HYPERLINK("http://www.biblegateway.com/passage/?search=1%20Samuel%203:1-4:18&amp;version=NIV",A178)</f>
        <v>1 Samuel 3:1-4:18</v>
      </c>
    </row>
    <row r="179" spans="1:6" ht="78.75" x14ac:dyDescent="0.3">
      <c r="A179" s="4" t="s">
        <v>428</v>
      </c>
      <c r="B179" s="1">
        <v>179</v>
      </c>
      <c r="C179" s="18"/>
      <c r="E179" s="13" t="s">
        <v>633</v>
      </c>
      <c r="F179" s="12" t="s">
        <v>644</v>
      </c>
    </row>
    <row r="180" spans="1:6" x14ac:dyDescent="0.3">
      <c r="A180" s="3" t="s">
        <v>92</v>
      </c>
      <c r="B180" s="1">
        <v>180</v>
      </c>
      <c r="C180" s="18"/>
      <c r="F180" s="11" t="str">
        <f>HYPERLINK("http://www.biblegateway.com/passage/?search=1%20Samuel%208:1-22&amp;version=NIV",A180)</f>
        <v>1 Samuel 8:1-22</v>
      </c>
    </row>
    <row r="181" spans="1:6" x14ac:dyDescent="0.3">
      <c r="A181" s="3" t="s">
        <v>93</v>
      </c>
      <c r="B181" s="1">
        <v>181</v>
      </c>
      <c r="C181" s="18"/>
      <c r="F181" s="11" t="str">
        <f>HYPERLINK("http://www.biblegateway.com/passage/?search=1%20Samuel%209:1-6,10,14-21&amp;version=NIV",A181)</f>
        <v>1 Samuel 9:1-6,10,14-21</v>
      </c>
    </row>
    <row r="182" spans="1:6" x14ac:dyDescent="0.3">
      <c r="A182" s="3" t="s">
        <v>94</v>
      </c>
      <c r="B182" s="1">
        <v>182</v>
      </c>
      <c r="C182" s="18"/>
      <c r="F182" s="11" t="str">
        <f>HYPERLINK("http://www.biblegateway.com/passage/?search=1%20Samuel%2010:1-2,5-7,%209,%2017-26&amp;version=NIV",A182)</f>
        <v>1 Samuel 10:1-2,5-7, 9, 17-26</v>
      </c>
    </row>
    <row r="183" spans="1:6" ht="31.5" x14ac:dyDescent="0.3">
      <c r="A183" s="4" t="s">
        <v>429</v>
      </c>
      <c r="B183" s="1">
        <v>183</v>
      </c>
      <c r="C183" s="18"/>
      <c r="E183" s="13" t="s">
        <v>633</v>
      </c>
      <c r="F183" s="12" t="s">
        <v>645</v>
      </c>
    </row>
    <row r="184" spans="1:6" x14ac:dyDescent="0.3">
      <c r="A184" s="3" t="s">
        <v>95</v>
      </c>
      <c r="B184" s="1">
        <v>184</v>
      </c>
      <c r="C184" s="18"/>
      <c r="F184" s="11" t="str">
        <f>HYPERLINK("http://www.biblegateway.com/passage/?search=1%20Samuel%2011:1-15;%2012:1-2a,%2012-25&amp;version=NIV",A184)</f>
        <v>1 Samuel 11:1-15; 12:1-2a, 12-25</v>
      </c>
    </row>
    <row r="185" spans="1:6" x14ac:dyDescent="0.3">
      <c r="A185" s="3" t="s">
        <v>96</v>
      </c>
      <c r="B185" s="1">
        <v>185</v>
      </c>
      <c r="C185" s="18"/>
      <c r="F185" s="11"/>
    </row>
    <row r="186" spans="1:6" x14ac:dyDescent="0.3">
      <c r="A186" s="4" t="s">
        <v>430</v>
      </c>
      <c r="B186" s="1">
        <v>186</v>
      </c>
      <c r="C186" s="18"/>
      <c r="E186" s="13" t="s">
        <v>633</v>
      </c>
      <c r="F186" s="12" t="str">
        <f>TRIM(MID(A186,FIND(":",A186)+2,500))</f>
        <v>Short transition explaining that Saul disobeyed God.</v>
      </c>
    </row>
    <row r="187" spans="1:6" x14ac:dyDescent="0.3">
      <c r="A187" s="3" t="s">
        <v>97</v>
      </c>
      <c r="B187" s="1">
        <v>187</v>
      </c>
      <c r="C187" s="18"/>
      <c r="F187" s="11" t="str">
        <f>HYPERLINK("http://www.biblegateway.com/passage/?search=1%20Samuel%2013:1-14&amp;version=NIV",A187)</f>
        <v>1 Samuel 13:1-14</v>
      </c>
    </row>
    <row r="188" spans="1:6" x14ac:dyDescent="0.3">
      <c r="A188" s="3" t="s">
        <v>98</v>
      </c>
      <c r="B188" s="1">
        <v>188</v>
      </c>
      <c r="C188" s="18"/>
      <c r="F188" s="11" t="str">
        <f>HYPERLINK("http://www.biblegateway.com/passage/?search=1%20Samuel%2015:1-4,7-9&amp;version=NIV",A188)</f>
        <v>1 Samuel 15:1-4,7-9</v>
      </c>
    </row>
    <row r="189" spans="1:6" ht="31.5" x14ac:dyDescent="0.3">
      <c r="A189" s="4" t="s">
        <v>431</v>
      </c>
      <c r="B189" s="1">
        <v>189</v>
      </c>
      <c r="C189" s="18"/>
      <c r="E189" s="13" t="s">
        <v>633</v>
      </c>
      <c r="F189" s="12" t="str">
        <f>TRIM(MID(A189,FIND(":",A189)+2,500))</f>
        <v>Short transition explaining the Lord rejecting Saul as King for his disobedience.</v>
      </c>
    </row>
    <row r="190" spans="1:6" x14ac:dyDescent="0.3">
      <c r="B190" s="1">
        <v>190</v>
      </c>
    </row>
    <row r="191" spans="1:6" x14ac:dyDescent="0.3">
      <c r="B191" s="1">
        <v>191</v>
      </c>
      <c r="C191" s="16" t="s">
        <v>574</v>
      </c>
    </row>
    <row r="192" spans="1:6" ht="18" x14ac:dyDescent="0.25">
      <c r="B192" s="1">
        <v>192</v>
      </c>
      <c r="D192" s="20" t="s">
        <v>575</v>
      </c>
    </row>
    <row r="193" spans="1:6" x14ac:dyDescent="0.3">
      <c r="A193" s="3" t="s">
        <v>99</v>
      </c>
      <c r="B193" s="1">
        <v>193</v>
      </c>
      <c r="C193" s="18"/>
      <c r="F193" s="11" t="str">
        <f>HYPERLINK("http://www.biblegateway.com/passage/?search=1%20Samuel%2016:1,4-13a&amp;version=NIV",A193)</f>
        <v>1 Samuel 16:1,4-13a</v>
      </c>
    </row>
    <row r="194" spans="1:6" x14ac:dyDescent="0.3">
      <c r="A194" s="3" t="s">
        <v>100</v>
      </c>
      <c r="B194" s="1">
        <v>194</v>
      </c>
      <c r="C194" s="18"/>
      <c r="F194" s="11" t="str">
        <f>HYPERLINK("http://www.biblegateway.com/passage/?search=1%20Samuel%2017:1-11,%2016-54&amp;version=NIV",A194)</f>
        <v>1 Samuel 17:1-11, 16-54</v>
      </c>
    </row>
    <row r="195" spans="1:6" x14ac:dyDescent="0.3">
      <c r="A195" s="4" t="s">
        <v>432</v>
      </c>
      <c r="B195" s="1">
        <v>195</v>
      </c>
      <c r="C195" s="18"/>
      <c r="E195" s="13" t="s">
        <v>633</v>
      </c>
      <c r="F195" s="12" t="str">
        <f>TRIM(MID(A195,FIND(":",A195)+2,500))</f>
        <v>Short transition back to the story of David</v>
      </c>
    </row>
    <row r="196" spans="1:6" x14ac:dyDescent="0.3">
      <c r="A196" s="3" t="s">
        <v>101</v>
      </c>
      <c r="B196" s="1">
        <v>196</v>
      </c>
      <c r="C196" s="18"/>
      <c r="F196" s="11" t="str">
        <f>HYPERLINK("http://www.biblegateway.com/passage/?search=1%20Samuel%2017:57-58&amp;version=NIV",A196)</f>
        <v>1 Samuel 17:57-58</v>
      </c>
    </row>
    <row r="197" spans="1:6" x14ac:dyDescent="0.3">
      <c r="A197" s="3" t="s">
        <v>102</v>
      </c>
      <c r="B197" s="1">
        <v>197</v>
      </c>
      <c r="C197" s="18"/>
      <c r="F197" s="11" t="str">
        <f>HYPERLINK("http://www.biblegateway.com/passage/?search=1%20Samuel%2018:1-16&amp;version=NIV",A197)</f>
        <v>1 Samuel 18:1-16</v>
      </c>
    </row>
    <row r="198" spans="1:6" x14ac:dyDescent="0.3">
      <c r="A198" s="4" t="s">
        <v>433</v>
      </c>
      <c r="B198" s="1">
        <v>198</v>
      </c>
      <c r="C198" s="18"/>
      <c r="E198" s="13" t="s">
        <v>633</v>
      </c>
      <c r="F198" s="12" t="s">
        <v>646</v>
      </c>
    </row>
    <row r="199" spans="1:6" x14ac:dyDescent="0.3">
      <c r="A199" s="3" t="s">
        <v>103</v>
      </c>
      <c r="B199" s="1">
        <v>199</v>
      </c>
      <c r="C199" s="18"/>
      <c r="F199" s="11" t="str">
        <f>HYPERLINK("http://www.biblegateway.com/passage/?search=Psalm%2059:1-5,%209-10a,16-17&amp;version=NIV",A199)</f>
        <v>Psalm 59:1-5, 9-10a,16-17</v>
      </c>
    </row>
    <row r="200" spans="1:6" x14ac:dyDescent="0.3">
      <c r="A200" s="4" t="s">
        <v>434</v>
      </c>
      <c r="B200" s="1">
        <v>200</v>
      </c>
      <c r="C200" s="18"/>
      <c r="E200" s="13" t="s">
        <v>633</v>
      </c>
      <c r="F200" s="12" t="str">
        <f>TRIM(MID(A200,FIND(":",A200)+2,500))</f>
        <v>Short transition into the story of David sparing Saul.</v>
      </c>
    </row>
    <row r="201" spans="1:6" x14ac:dyDescent="0.3">
      <c r="A201" s="3" t="s">
        <v>104</v>
      </c>
      <c r="B201" s="1">
        <v>201</v>
      </c>
      <c r="C201" s="18"/>
      <c r="F201" s="11" t="str">
        <f>HYPERLINK("http://www.biblegateway.com/passage/?search=1%20Samuel%2024:1-22&amp;version=NIV",A201)</f>
        <v>1 Samuel 24:1-22</v>
      </c>
    </row>
    <row r="202" spans="1:6" x14ac:dyDescent="0.3">
      <c r="A202" s="3" t="s">
        <v>105</v>
      </c>
      <c r="B202" s="1">
        <v>202</v>
      </c>
      <c r="C202" s="18"/>
      <c r="F202" s="11" t="str">
        <f>HYPERLINK("http://www.biblegateway.com/passage/?search=2%20Samuel%2022:1-7,47&amp;version=NIV",A202)</f>
        <v>2 Samuel 22:1-7,47</v>
      </c>
    </row>
    <row r="203" spans="1:6" x14ac:dyDescent="0.3">
      <c r="A203" s="4" t="s">
        <v>435</v>
      </c>
      <c r="B203" s="1">
        <v>203</v>
      </c>
      <c r="C203" s="18"/>
      <c r="E203" s="13" t="s">
        <v>633</v>
      </c>
      <c r="F203" s="12" t="str">
        <f>TRIM(MID(A203,FIND(":",A203)+2,500))</f>
        <v>Short transition about the death of Saul.</v>
      </c>
    </row>
    <row r="204" spans="1:6" x14ac:dyDescent="0.3">
      <c r="A204" s="3" t="s">
        <v>106</v>
      </c>
      <c r="B204" s="1">
        <v>204</v>
      </c>
      <c r="C204" s="18"/>
      <c r="F204" s="11" t="str">
        <f>HYPERLINK("http://www.biblegateway.com/passage/?search=1%20Samuel%2031:1-12&amp;version=NIV",A204)</f>
        <v>1 Samuel 31:1-12</v>
      </c>
    </row>
    <row r="205" spans="1:6" ht="63" x14ac:dyDescent="0.3">
      <c r="A205" s="4" t="s">
        <v>436</v>
      </c>
      <c r="B205" s="1">
        <v>205</v>
      </c>
      <c r="C205" s="18"/>
      <c r="E205" s="13" t="s">
        <v>633</v>
      </c>
      <c r="F205" s="12" t="str">
        <f>TRIM(MID(A205,FIND(":",A205)+2,500))</f>
        <v>Long transition explaining that David was anointed King over Judah and Jerusalem, and defeated the Philistines. Remind readers that the ark was placed in Abinadab’s house on the hill. Tell of David’s passion to bring the ark back to Israel.</v>
      </c>
    </row>
    <row r="206" spans="1:6" x14ac:dyDescent="0.3">
      <c r="A206" s="3" t="s">
        <v>107</v>
      </c>
      <c r="B206" s="1">
        <v>206</v>
      </c>
      <c r="C206" s="18"/>
      <c r="F206" s="11" t="str">
        <f>HYPERLINK("http://www.biblegateway.com/passage/?search=2%20Samuel%206:1-15&amp;version=NIV",A206)</f>
        <v>2 Samuel 6:1-15</v>
      </c>
    </row>
    <row r="207" spans="1:6" x14ac:dyDescent="0.3">
      <c r="A207" s="4" t="s">
        <v>437</v>
      </c>
      <c r="B207" s="1">
        <v>207</v>
      </c>
      <c r="C207" s="18"/>
      <c r="E207" s="13" t="s">
        <v>633</v>
      </c>
      <c r="F207" s="12" t="str">
        <f>TRIM(MID(A207,FIND(":",A207)+2,500))</f>
        <v>Short transition regarding Michal</v>
      </c>
    </row>
    <row r="208" spans="1:6" x14ac:dyDescent="0.3">
      <c r="A208" s="3" t="s">
        <v>108</v>
      </c>
      <c r="B208" s="1">
        <v>208</v>
      </c>
      <c r="C208" s="18"/>
      <c r="F208" s="11" t="str">
        <f>HYPERLINK("http://www.biblegateway.com/passage/?search=2%20Samuel%206:16-23&amp;version=NIV",A208)</f>
        <v>2 Samuel 6:16-23</v>
      </c>
    </row>
    <row r="209" spans="1:6" x14ac:dyDescent="0.3">
      <c r="A209" s="4" t="s">
        <v>438</v>
      </c>
      <c r="B209" s="1">
        <v>209</v>
      </c>
      <c r="C209" s="18"/>
      <c r="E209" s="13" t="s">
        <v>633</v>
      </c>
      <c r="F209" s="12" t="str">
        <f>TRIM(MID(A209,FIND(":",A209)+2,500))</f>
        <v>Short transition about the temple</v>
      </c>
    </row>
    <row r="210" spans="1:6" x14ac:dyDescent="0.3">
      <c r="A210" s="3" t="s">
        <v>109</v>
      </c>
      <c r="B210" s="1">
        <v>210</v>
      </c>
      <c r="C210" s="18"/>
      <c r="F210" s="11" t="str">
        <f>HYPERLINK("http://www.biblegateway.com/passage/?search=1%20Chronicles%2017:1-27&amp;version=NIV",A210)</f>
        <v>1 Chronicles 17 1-27</v>
      </c>
    </row>
    <row r="211" spans="1:6" ht="63" x14ac:dyDescent="0.3">
      <c r="A211" s="4" t="s">
        <v>439</v>
      </c>
      <c r="B211" s="1">
        <v>211</v>
      </c>
      <c r="C211" s="18"/>
      <c r="E211" s="13" t="s">
        <v>633</v>
      </c>
      <c r="F211" s="12" t="s">
        <v>647</v>
      </c>
    </row>
    <row r="212" spans="1:6" x14ac:dyDescent="0.3">
      <c r="B212" s="1">
        <v>212</v>
      </c>
    </row>
    <row r="213" spans="1:6" x14ac:dyDescent="0.3">
      <c r="B213" s="1">
        <v>213</v>
      </c>
      <c r="C213" s="16" t="s">
        <v>576</v>
      </c>
    </row>
    <row r="214" spans="1:6" ht="18" x14ac:dyDescent="0.25">
      <c r="B214" s="1">
        <v>214</v>
      </c>
      <c r="D214" s="20" t="s">
        <v>577</v>
      </c>
    </row>
    <row r="215" spans="1:6" x14ac:dyDescent="0.3">
      <c r="A215" s="3" t="s">
        <v>110</v>
      </c>
      <c r="B215" s="1">
        <v>215</v>
      </c>
      <c r="C215" s="18"/>
      <c r="F215" s="11" t="str">
        <f>HYPERLINK("http://www.biblegateway.com/passage/?search=2%20Samuel%2011:1-17,%2026-27%20%20&amp;version=NIV",A215)</f>
        <v xml:space="preserve">2 Samuel 11:1-17, 26-27  </v>
      </c>
    </row>
    <row r="216" spans="1:6" x14ac:dyDescent="0.3">
      <c r="A216" s="3" t="s">
        <v>111</v>
      </c>
      <c r="B216" s="1">
        <v>216</v>
      </c>
      <c r="C216" s="18"/>
      <c r="F216" s="11" t="str">
        <f>HYPERLINK("http://www.biblegateway.com/passage/?search=2%20Samuel%2012:1-13a&amp;version=NIV",A216)</f>
        <v>2 Samuel 12:1-13a</v>
      </c>
    </row>
    <row r="217" spans="1:6" x14ac:dyDescent="0.3">
      <c r="A217" s="4" t="s">
        <v>440</v>
      </c>
      <c r="B217" s="1">
        <v>217</v>
      </c>
      <c r="C217" s="18"/>
      <c r="E217" s="13" t="s">
        <v>633</v>
      </c>
      <c r="F217" s="12" t="str">
        <f>TRIM(MID(A217,FIND(":",A217)+2,500))</f>
        <v>Short transition</v>
      </c>
    </row>
    <row r="218" spans="1:6" x14ac:dyDescent="0.3">
      <c r="A218" s="3" t="s">
        <v>112</v>
      </c>
      <c r="B218" s="1">
        <v>218</v>
      </c>
      <c r="C218" s="18"/>
      <c r="F218" s="11" t="str">
        <f>HYPERLINK("http://www.biblegateway.com/passage/?search=Psalm%2051:1-12&amp;version=NIV",A218)</f>
        <v>Psalm 51:1-12</v>
      </c>
    </row>
    <row r="219" spans="1:6" x14ac:dyDescent="0.3">
      <c r="A219" s="4" t="s">
        <v>441</v>
      </c>
      <c r="B219" s="1">
        <v>219</v>
      </c>
      <c r="C219" s="18"/>
      <c r="E219" s="13" t="s">
        <v>633</v>
      </c>
      <c r="F219" s="12" t="str">
        <f>TRIM(MID(A219,FIND(":",A219)+2,500))</f>
        <v>Short transition back into the story</v>
      </c>
    </row>
    <row r="220" spans="1:6" x14ac:dyDescent="0.3">
      <c r="A220" s="3" t="s">
        <v>113</v>
      </c>
      <c r="B220" s="1">
        <v>220</v>
      </c>
      <c r="C220" s="18"/>
      <c r="F220" s="11" t="str">
        <f>HYPERLINK("http://www.biblegateway.com/passage/?search=2%20Samuel%2012:13b-20a&amp;version=NIV",A220)</f>
        <v>2 Samuel 12:13b-20a</v>
      </c>
    </row>
    <row r="221" spans="1:6" x14ac:dyDescent="0.3">
      <c r="A221" s="4" t="s">
        <v>440</v>
      </c>
      <c r="B221" s="1">
        <v>221</v>
      </c>
      <c r="C221" s="18"/>
      <c r="E221" s="13" t="s">
        <v>633</v>
      </c>
      <c r="F221" s="12" t="str">
        <f>TRIM(MID(A221,FIND(":",A221)+2,500))</f>
        <v>Short transition</v>
      </c>
    </row>
    <row r="222" spans="1:6" x14ac:dyDescent="0.3">
      <c r="A222" s="3" t="s">
        <v>114</v>
      </c>
      <c r="B222" s="1">
        <v>222</v>
      </c>
      <c r="C222" s="18"/>
      <c r="F222" s="11" t="str">
        <f>HYPERLINK("http://www.biblegateway.com/passage/?search=Psalm%2032:1-7,%2010-11&amp;version=NIV",A222)</f>
        <v>Psalm 32:1-7, 10-11</v>
      </c>
    </row>
    <row r="223" spans="1:6" x14ac:dyDescent="0.3">
      <c r="A223" s="3" t="s">
        <v>115</v>
      </c>
      <c r="B223" s="1">
        <v>223</v>
      </c>
      <c r="C223" s="18"/>
      <c r="F223" s="11" t="str">
        <f>HYPERLINK("http://www.biblegateway.com/passage/?search=2%20Samuel%2012:24-25&amp;version=NIV",A223)</f>
        <v>2 Samuel 12:24-25</v>
      </c>
    </row>
    <row r="224" spans="1:6" ht="78.75" x14ac:dyDescent="0.3">
      <c r="A224" s="4" t="s">
        <v>442</v>
      </c>
      <c r="B224" s="1">
        <v>224</v>
      </c>
      <c r="C224" s="18"/>
      <c r="E224" s="13" t="s">
        <v>633</v>
      </c>
      <c r="F224" s="12" t="s">
        <v>648</v>
      </c>
    </row>
    <row r="225" spans="1:6" x14ac:dyDescent="0.3">
      <c r="A225" s="3" t="s">
        <v>116</v>
      </c>
      <c r="B225" s="1">
        <v>225</v>
      </c>
      <c r="C225" s="18"/>
      <c r="F225" s="11" t="str">
        <f>HYPERLINK("http://www.biblegateway.com/passage/?search=2%20Samuel%2018:1-18,%2021,%2031-33&amp;version=NIV",A225)</f>
        <v>2 Samuel 18:1-18, 21, 31-33</v>
      </c>
    </row>
    <row r="226" spans="1:6" x14ac:dyDescent="0.3">
      <c r="A226" s="3" t="s">
        <v>117</v>
      </c>
      <c r="B226" s="1">
        <v>226</v>
      </c>
      <c r="C226" s="18"/>
      <c r="F226" s="11" t="str">
        <f>HYPERLINK("http://www.biblegateway.com/passage/?search=2%20Samuel%2019:4&amp;version=NIV",A226)</f>
        <v>2 Samuel 19:4</v>
      </c>
    </row>
    <row r="227" spans="1:6" ht="47.25" x14ac:dyDescent="0.3">
      <c r="A227" s="4" t="s">
        <v>443</v>
      </c>
      <c r="B227" s="1">
        <v>227</v>
      </c>
      <c r="C227" s="18"/>
      <c r="E227" s="13" t="s">
        <v>633</v>
      </c>
      <c r="F227" s="12" t="str">
        <f>TRIM(MID(A227,FIND(":",A227)+2,500))</f>
        <v>Short transition explaining that David crushed the rebellion and reigned again as king, transition to David’s praise and David’s orders to prepare the temple (time has passed)</v>
      </c>
    </row>
    <row r="228" spans="1:6" x14ac:dyDescent="0.3">
      <c r="A228" s="3" t="s">
        <v>118</v>
      </c>
      <c r="B228" s="1">
        <v>228</v>
      </c>
      <c r="C228" s="18"/>
      <c r="F228" s="11" t="str">
        <f>HYPERLINK("http://www.biblegateway.com/passage/?search=1%20Chronicles%2022:1-19&amp;version=NIV",A228)</f>
        <v>1 Chronicles 22:1-19</v>
      </c>
    </row>
    <row r="229" spans="1:6" x14ac:dyDescent="0.3">
      <c r="A229" s="3" t="s">
        <v>119</v>
      </c>
      <c r="B229" s="1">
        <v>229</v>
      </c>
      <c r="C229" s="18"/>
      <c r="F229" s="11" t="str">
        <f>HYPERLINK("http://www.biblegateway.com/passage/?search=1%20Chronicles%2029:1-20&amp;version=NIV",A229)</f>
        <v>1 Chronicles 29:1-20</v>
      </c>
    </row>
    <row r="230" spans="1:6" x14ac:dyDescent="0.3">
      <c r="A230" s="4" t="s">
        <v>444</v>
      </c>
      <c r="B230" s="1">
        <v>230</v>
      </c>
      <c r="C230" s="18"/>
      <c r="E230" s="13" t="s">
        <v>633</v>
      </c>
      <c r="F230" s="12" t="str">
        <f>TRIM(MID(A230,FIND(":",A230)+2,500))</f>
        <v>Short transition into the Psalms of David</v>
      </c>
    </row>
    <row r="231" spans="1:6" x14ac:dyDescent="0.3">
      <c r="A231" s="3" t="s">
        <v>120</v>
      </c>
      <c r="B231" s="1">
        <v>231</v>
      </c>
      <c r="C231" s="18"/>
      <c r="F231" s="11" t="str">
        <f>HYPERLINK("http://www.biblegateway.com/passage/?search=Psalm%2023&amp;version=NIV",A231)</f>
        <v>Psalm 23</v>
      </c>
    </row>
    <row r="232" spans="1:6" x14ac:dyDescent="0.3">
      <c r="A232" s="4" t="s">
        <v>445</v>
      </c>
      <c r="B232" s="1">
        <v>232</v>
      </c>
      <c r="C232" s="18"/>
      <c r="E232" s="13" t="s">
        <v>633</v>
      </c>
      <c r="F232" s="12" t="str">
        <f>TRIM(MID(A232,FIND(":",A232)+2,500))</f>
        <v>Short transition to the end of David’s life</v>
      </c>
    </row>
    <row r="233" spans="1:6" x14ac:dyDescent="0.3">
      <c r="B233" s="1">
        <v>233</v>
      </c>
    </row>
    <row r="234" spans="1:6" x14ac:dyDescent="0.3">
      <c r="B234" s="1">
        <v>234</v>
      </c>
      <c r="C234" s="16" t="s">
        <v>578</v>
      </c>
    </row>
    <row r="235" spans="1:6" ht="18" x14ac:dyDescent="0.25">
      <c r="B235" s="1">
        <v>235</v>
      </c>
      <c r="D235" s="20" t="s">
        <v>579</v>
      </c>
    </row>
    <row r="236" spans="1:6" x14ac:dyDescent="0.3">
      <c r="A236" s="3" t="s">
        <v>121</v>
      </c>
      <c r="B236" s="1">
        <v>236</v>
      </c>
      <c r="C236" s="18"/>
      <c r="F236" s="11" t="str">
        <f>HYPERLINK("http://www.biblegateway.com/passage/?search=1%20Kings%201:1,%2015-17,%2029-31&amp;version=NIV",A236)</f>
        <v>1 Kings 1:1, 15-17, 29-31</v>
      </c>
    </row>
    <row r="237" spans="1:6" x14ac:dyDescent="0.3">
      <c r="A237" s="3" t="s">
        <v>122</v>
      </c>
      <c r="B237" s="1">
        <v>237</v>
      </c>
      <c r="C237" s="18"/>
      <c r="F237" s="11" t="str">
        <f>HYPERLINK("http://www.biblegateway.com/passage/?search=1%20Kings%202:1-4,%2010-12&amp;version=NIV",A237)</f>
        <v>1 Kings 2:1-4, 10-12</v>
      </c>
    </row>
    <row r="238" spans="1:6" x14ac:dyDescent="0.3">
      <c r="A238" s="3" t="s">
        <v>123</v>
      </c>
      <c r="B238" s="1">
        <v>238</v>
      </c>
      <c r="C238" s="18"/>
      <c r="F238" s="11" t="str">
        <f>HYPERLINK("http://www.biblegateway.com/passage/?search=1%20Kings%203:1-28&amp;version=NIV",A238)</f>
        <v>1 Kings 3:1-28</v>
      </c>
    </row>
    <row r="239" spans="1:6" x14ac:dyDescent="0.3">
      <c r="A239" s="4" t="s">
        <v>440</v>
      </c>
      <c r="B239" s="1">
        <v>239</v>
      </c>
      <c r="C239" s="18"/>
      <c r="E239" s="13" t="s">
        <v>633</v>
      </c>
      <c r="F239" s="12" t="str">
        <f>TRIM(MID(A239,FIND(":",A239)+2,500))</f>
        <v>Short transition</v>
      </c>
    </row>
    <row r="240" spans="1:6" x14ac:dyDescent="0.3">
      <c r="A240" s="3" t="s">
        <v>124</v>
      </c>
      <c r="B240" s="1">
        <v>240</v>
      </c>
      <c r="C240" s="18"/>
      <c r="F240" s="11" t="str">
        <f>HYPERLINK("http://www.biblegateway.com/passage/?search=1%20Kings%204:29-34&amp;version=NIV",A240)</f>
        <v>1 Kings 4:29-34</v>
      </c>
    </row>
    <row r="241" spans="1:6" x14ac:dyDescent="0.3">
      <c r="A241" s="4" t="s">
        <v>446</v>
      </c>
      <c r="B241" s="1">
        <v>241</v>
      </c>
      <c r="C241" s="18"/>
      <c r="E241" s="13" t="s">
        <v>633</v>
      </c>
      <c r="F241" s="12" t="str">
        <f>TRIM(MID(A241,FIND(":",A241)+2,500))</f>
        <v>Short transition into Proverbs.</v>
      </c>
    </row>
    <row r="242" spans="1:6" x14ac:dyDescent="0.3">
      <c r="A242" s="3" t="s">
        <v>125</v>
      </c>
      <c r="B242" s="1">
        <v>242</v>
      </c>
      <c r="C242" s="18"/>
      <c r="F242" s="11" t="str">
        <f>HYPERLINK("http://www.biblegateway.com/passage/?search=Proverbs%201:1-4a,7&amp;version=NIV",A242)</f>
        <v>Proverbs 1:1-4a,7</v>
      </c>
    </row>
    <row r="243" spans="1:6" x14ac:dyDescent="0.3">
      <c r="A243" s="3" t="s">
        <v>126</v>
      </c>
      <c r="B243" s="1">
        <v>243</v>
      </c>
      <c r="C243" s="18"/>
      <c r="F243" s="11" t="str">
        <f>HYPERLINK("http://www.biblegateway.com/passage/?search=Proverbs%202:%201-6,12&amp;version=NIV",A243)</f>
        <v>Proverbs 2: 1-6,12</v>
      </c>
    </row>
    <row r="244" spans="1:6" x14ac:dyDescent="0.3">
      <c r="A244" s="3" t="s">
        <v>127</v>
      </c>
      <c r="B244" s="1">
        <v>244</v>
      </c>
      <c r="C244" s="18"/>
      <c r="F244" s="11" t="str">
        <f>HYPERLINK("http://www.biblegateway.com/passage/?search=Proverbs%203:1-12&amp;version=NIV",A244)</f>
        <v>Proverbs 3:1-12</v>
      </c>
    </row>
    <row r="245" spans="1:6" x14ac:dyDescent="0.3">
      <c r="A245" s="3" t="s">
        <v>128</v>
      </c>
      <c r="B245" s="1">
        <v>245</v>
      </c>
      <c r="C245" s="18"/>
      <c r="F245" s="11" t="str">
        <f>HYPERLINK("http://www.biblegateway.com/passage/?search=Proverbs%206:28-29&amp;version=NIV",A245)</f>
        <v>Proverbs 6:28-29</v>
      </c>
    </row>
    <row r="246" spans="1:6" x14ac:dyDescent="0.3">
      <c r="A246" s="3" t="s">
        <v>129</v>
      </c>
      <c r="B246" s="1">
        <v>246</v>
      </c>
      <c r="C246" s="18"/>
      <c r="F246" s="11" t="str">
        <f>HYPERLINK("http://www.biblegateway.com/passage/?search=Proverbs%2020:2-4,7,10,13,15,17,19-22,24,27,29&amp;version=NIV",A246)</f>
        <v>Proverbs 20:2-4,7,10,13,15,17,19-22,24,27,29</v>
      </c>
    </row>
    <row r="247" spans="1:6" x14ac:dyDescent="0.3">
      <c r="A247" s="3" t="s">
        <v>130</v>
      </c>
      <c r="B247" s="1">
        <v>247</v>
      </c>
      <c r="C247" s="18"/>
      <c r="F247" s="11" t="str">
        <f>HYPERLINK("http://www.biblegateway.com/passage/?search=Proverbs%2021:1-7,10,13-15,17,19-21,23,27-28,30-31&amp;version=NIV",A247)</f>
        <v>Proverbs 21:1-7,10,13-15,17,19-21,23,27-28,30-31</v>
      </c>
    </row>
    <row r="248" spans="1:6" x14ac:dyDescent="0.3">
      <c r="A248" s="4" t="s">
        <v>447</v>
      </c>
      <c r="B248" s="1">
        <v>248</v>
      </c>
      <c r="C248" s="18"/>
      <c r="E248" s="13" t="s">
        <v>633</v>
      </c>
      <c r="F248" s="12" t="str">
        <f>TRIM(MID(A248,FIND(":",A248)+2,500))</f>
        <v>Short transition back into Solomon’s life.</v>
      </c>
    </row>
    <row r="249" spans="1:6" x14ac:dyDescent="0.3">
      <c r="A249" s="3" t="s">
        <v>131</v>
      </c>
      <c r="B249" s="1">
        <v>249</v>
      </c>
      <c r="C249" s="18"/>
      <c r="F249" s="11" t="str">
        <f>HYPERLINK("http://www.biblegateway.com/passage/?search=1%20Kings%205:1-12&amp;version=NIV",A249)</f>
        <v>1 Kings 5:1-12</v>
      </c>
    </row>
    <row r="250" spans="1:6" x14ac:dyDescent="0.3">
      <c r="A250" s="3" t="s">
        <v>132</v>
      </c>
      <c r="B250" s="1">
        <v>250</v>
      </c>
      <c r="C250" s="18"/>
      <c r="F250" s="11" t="str">
        <f>HYPERLINK("http://www.biblegateway.com/passage/?search=1%20Kings%206:1&amp;version=NIV",A250)</f>
        <v>1 Kings 6:1</v>
      </c>
    </row>
    <row r="251" spans="1:6" ht="47.25" x14ac:dyDescent="0.3">
      <c r="A251" s="4" t="s">
        <v>448</v>
      </c>
      <c r="B251" s="1">
        <v>251</v>
      </c>
      <c r="C251" s="18"/>
      <c r="E251" s="13" t="s">
        <v>633</v>
      </c>
      <c r="F251" s="12" t="str">
        <f>TRIM(MID(A251,FIND(":",A251)+2,500))</f>
        <v>Long Transition? Explaining the construction of the temple (and the palace) transition into Solomon bringing the ark into the temple.</v>
      </c>
    </row>
    <row r="252" spans="1:6" x14ac:dyDescent="0.3">
      <c r="A252" s="3" t="s">
        <v>133</v>
      </c>
      <c r="B252" s="1">
        <v>252</v>
      </c>
      <c r="C252" s="18"/>
      <c r="F252" s="11" t="str">
        <f>HYPERLINK("http://www.biblegateway.com/passage/?search=1%20Kings%207:51&amp;version=NIV",A252)</f>
        <v>1 Kings 7:51</v>
      </c>
    </row>
    <row r="253" spans="1:6" x14ac:dyDescent="0.3">
      <c r="A253" s="3" t="s">
        <v>134</v>
      </c>
      <c r="B253" s="1">
        <v>253</v>
      </c>
      <c r="C253" s="18"/>
      <c r="F253" s="11" t="str">
        <f>HYPERLINK("http://www.biblegateway.com/passage/?search=1%20Kings%208:1-6,&amp;version=NIV",A253)</f>
        <v>1 Kings 8:1-6,</v>
      </c>
    </row>
    <row r="254" spans="1:6" x14ac:dyDescent="0.3">
      <c r="A254" s="3" t="s">
        <v>135</v>
      </c>
      <c r="B254" s="1">
        <v>254</v>
      </c>
      <c r="C254" s="18"/>
      <c r="F254" s="11" t="str">
        <f>HYPERLINK("http://www.biblegateway.com/passage/?search=2%20Chronicles%205:11-14&amp;version=NIV",A254)</f>
        <v>2 Chronicles 5:11-14</v>
      </c>
    </row>
    <row r="255" spans="1:6" x14ac:dyDescent="0.3">
      <c r="A255" s="3" t="s">
        <v>136</v>
      </c>
      <c r="B255" s="1">
        <v>255</v>
      </c>
      <c r="C255" s="18"/>
      <c r="F255" s="11" t="str">
        <f>HYPERLINK("http://www.biblegateway.com/passage/?search=1%20Kings%208:12-14,%2022-24,27-30&amp;version=NIV",A255)</f>
        <v>1 Kings 8:12-14, 22-24,27-30</v>
      </c>
    </row>
    <row r="256" spans="1:6" x14ac:dyDescent="0.3">
      <c r="A256" s="3" t="s">
        <v>137</v>
      </c>
      <c r="B256" s="1">
        <v>256</v>
      </c>
      <c r="C256" s="18"/>
      <c r="F256" s="11" t="str">
        <f>HYPERLINK("http://www.biblegateway.com/passage/?search=2%20Chronicles%206:40-42&amp;version=NIV",A256)</f>
        <v>2 Chronicles 6:40-42</v>
      </c>
    </row>
    <row r="257" spans="1:6" x14ac:dyDescent="0.3">
      <c r="A257" s="3" t="s">
        <v>138</v>
      </c>
      <c r="B257" s="1">
        <v>257</v>
      </c>
      <c r="C257" s="18"/>
      <c r="F257" s="11" t="str">
        <f>HYPERLINK("http://www.biblegateway.com/passage/?search=2%20Chronicles%207:1-3&amp;version=NIV",A257)</f>
        <v>2 Chronicles 7:1-3</v>
      </c>
    </row>
    <row r="258" spans="1:6" x14ac:dyDescent="0.3">
      <c r="A258" s="3" t="s">
        <v>139</v>
      </c>
      <c r="B258" s="1">
        <v>258</v>
      </c>
      <c r="C258" s="18"/>
      <c r="F258" s="11" t="str">
        <f>HYPERLINK("http://www.biblegateway.com/passage/?search=1%20Kings%208:54-61&amp;version=NIV",A258)</f>
        <v>1 Kings 8:54-61</v>
      </c>
    </row>
    <row r="259" spans="1:6" x14ac:dyDescent="0.3">
      <c r="A259" s="3" t="s">
        <v>140</v>
      </c>
      <c r="B259" s="1">
        <v>259</v>
      </c>
      <c r="C259" s="18"/>
      <c r="F259" s="11" t="str">
        <f>HYPERLINK("http://www.biblegateway.com/passage/?search=2%20Chronicles%207:4-5,11-22&amp;version=NIV",A259)</f>
        <v>2 Chronicles 7:4-5,11-22</v>
      </c>
    </row>
    <row r="260" spans="1:6" ht="31.5" x14ac:dyDescent="0.3">
      <c r="A260" s="4" t="s">
        <v>449</v>
      </c>
      <c r="B260" s="1">
        <v>260</v>
      </c>
      <c r="C260" s="18"/>
      <c r="E260" s="13" t="s">
        <v>633</v>
      </c>
      <c r="F260" s="12" t="s">
        <v>635</v>
      </c>
    </row>
    <row r="261" spans="1:6" x14ac:dyDescent="0.3">
      <c r="A261" s="3" t="s">
        <v>141</v>
      </c>
      <c r="B261" s="1">
        <v>261</v>
      </c>
      <c r="C261" s="18"/>
      <c r="F261" s="11" t="str">
        <f>HYPERLINK("http://www.biblegateway.com/passage/?search=1%20Kings%2010:1-10,13-29&amp;version=NIV",A261)</f>
        <v>1 Kings 10:1-10,13-29</v>
      </c>
    </row>
    <row r="262" spans="1:6" x14ac:dyDescent="0.3">
      <c r="A262" s="4" t="s">
        <v>450</v>
      </c>
      <c r="B262" s="1">
        <v>262</v>
      </c>
      <c r="C262" s="18"/>
      <c r="E262" s="13" t="s">
        <v>633</v>
      </c>
      <c r="F262" s="12" t="str">
        <f>TRIM(MID(A262,FIND(":",A262)+2,500))</f>
        <v>Short transition</v>
      </c>
    </row>
    <row r="263" spans="1:6" x14ac:dyDescent="0.3">
      <c r="A263" s="3" t="s">
        <v>142</v>
      </c>
      <c r="B263" s="1">
        <v>263</v>
      </c>
      <c r="C263" s="18"/>
      <c r="F263" s="11" t="str">
        <f>HYPERLINK("http://www.biblegateway.com/passage/?search=1%20Kings%2011:1-6,%209-13&amp;version=NIV",A263)</f>
        <v>1 Kings 11:1-6, 9-13</v>
      </c>
    </row>
    <row r="264" spans="1:6" x14ac:dyDescent="0.3">
      <c r="B264" s="1">
        <v>264</v>
      </c>
    </row>
    <row r="265" spans="1:6" x14ac:dyDescent="0.3">
      <c r="B265" s="1">
        <v>265</v>
      </c>
      <c r="C265" s="16" t="s">
        <v>580</v>
      </c>
    </row>
    <row r="266" spans="1:6" ht="18" x14ac:dyDescent="0.25">
      <c r="B266" s="1">
        <v>266</v>
      </c>
      <c r="D266" s="20" t="s">
        <v>581</v>
      </c>
    </row>
    <row r="267" spans="1:6" x14ac:dyDescent="0.3">
      <c r="A267" s="4" t="s">
        <v>451</v>
      </c>
      <c r="B267" s="1">
        <v>267</v>
      </c>
      <c r="C267" s="18"/>
      <c r="E267" s="13" t="s">
        <v>633</v>
      </c>
      <c r="F267" s="12" t="str">
        <f>TRIM(MID(A267,FIND(":",A267)+2,500))</f>
        <v>Short transition about Rehoboam and Jeroboam</v>
      </c>
    </row>
    <row r="268" spans="1:6" x14ac:dyDescent="0.3">
      <c r="A268" s="3" t="s">
        <v>143</v>
      </c>
      <c r="B268" s="1">
        <v>268</v>
      </c>
      <c r="C268" s="18"/>
      <c r="F268" s="11" t="str">
        <f>HYPERLINK("http://www.biblegateway.com/passage/?search=1%20Kings%2012:1-17&amp;version=NIV",A268)</f>
        <v>1 Kings 12:1-17</v>
      </c>
    </row>
    <row r="269" spans="1:6" x14ac:dyDescent="0.3">
      <c r="A269" s="4" t="s">
        <v>452</v>
      </c>
      <c r="B269" s="1">
        <v>269</v>
      </c>
      <c r="C269" s="18"/>
      <c r="E269" s="13" t="s">
        <v>633</v>
      </c>
      <c r="F269" s="12" t="str">
        <f>TRIM(MID(A269,FIND(":",A269)+2,500))</f>
        <v>Short transition about the division of the kingdom</v>
      </c>
    </row>
    <row r="270" spans="1:6" x14ac:dyDescent="0.3">
      <c r="A270" s="3" t="s">
        <v>144</v>
      </c>
      <c r="B270" s="1">
        <v>270</v>
      </c>
      <c r="C270" s="18"/>
      <c r="F270" s="11" t="str">
        <f>HYPERLINK("http://www.biblegateway.com/passage/?search=1%20Kings%2012:18-33&amp;version=NIV",A270)</f>
        <v>1 Kings 12:18-33</v>
      </c>
    </row>
    <row r="271" spans="1:6" x14ac:dyDescent="0.3">
      <c r="A271" s="3" t="s">
        <v>145</v>
      </c>
      <c r="B271" s="1">
        <v>271</v>
      </c>
      <c r="C271" s="18"/>
      <c r="F271" s="11" t="str">
        <f>HYPERLINK("http://www.biblegateway.com/passage/?search=1%20Kings%2013:1-6,33&amp;version=NIV",A271)</f>
        <v>1 Kings 13:1-6,33</v>
      </c>
    </row>
    <row r="272" spans="1:6" x14ac:dyDescent="0.3">
      <c r="A272" s="3" t="s">
        <v>146</v>
      </c>
      <c r="B272" s="1">
        <v>272</v>
      </c>
      <c r="C272" s="18"/>
      <c r="F272" s="11" t="str">
        <f>HYPERLINK("http://www.biblegateway.com/passage/?search=1%20Kings%2014:1-18&amp;version=NIV",A272)</f>
        <v>1 Kings 14:1-18</v>
      </c>
    </row>
    <row r="273" spans="1:6" x14ac:dyDescent="0.3">
      <c r="A273" s="3" t="s">
        <v>147</v>
      </c>
      <c r="B273" s="1">
        <v>273</v>
      </c>
      <c r="C273" s="18"/>
      <c r="F273" s="11" t="str">
        <f>HYPERLINK("http://www.biblegateway.com/passage/?search=1%20Kings%2014:21a,%2022-28,%2030-31&amp;version=NIV",A273)</f>
        <v>1 Kings 14:21a, 22-28, 30-31</v>
      </c>
    </row>
    <row r="274" spans="1:6" x14ac:dyDescent="0.3">
      <c r="A274" s="3" t="s">
        <v>148</v>
      </c>
      <c r="B274" s="1">
        <v>274</v>
      </c>
      <c r="C274" s="18"/>
      <c r="F274" s="11" t="str">
        <f>HYPERLINK("http://www.biblegateway.com/passage/?search=1%20Kings%2015:1-6,8-24&amp;version=NIV",A274)</f>
        <v>1 Kings 15:1-6,8-24</v>
      </c>
    </row>
    <row r="275" spans="1:6" ht="31.5" x14ac:dyDescent="0.3">
      <c r="A275" s="4" t="s">
        <v>453</v>
      </c>
      <c r="B275" s="1">
        <v>275</v>
      </c>
      <c r="C275" s="18"/>
      <c r="E275" s="13" t="s">
        <v>633</v>
      </c>
      <c r="F275" s="12" t="str">
        <f>TRIM(MID(A275,FIND(":",A275)+2,500))</f>
        <v>Long transition telling of the Kings of Israel and Judah (up to King Ahab). Introduce Elijah, transition into story of Elijah.</v>
      </c>
    </row>
    <row r="276" spans="1:6" x14ac:dyDescent="0.3">
      <c r="A276" s="3" t="s">
        <v>149</v>
      </c>
      <c r="B276" s="1">
        <v>276</v>
      </c>
      <c r="C276" s="18"/>
      <c r="F276" s="11" t="str">
        <f>HYPERLINK("http://www.biblegateway.com/passage/?search=1%20Kings%2016:29-34&amp;version=NIV",A276)</f>
        <v>1 Kings 16:29-34</v>
      </c>
    </row>
    <row r="277" spans="1:6" x14ac:dyDescent="0.3">
      <c r="B277" s="1">
        <v>277</v>
      </c>
    </row>
    <row r="278" spans="1:6" x14ac:dyDescent="0.3">
      <c r="B278" s="1">
        <v>278</v>
      </c>
      <c r="C278" s="16" t="s">
        <v>582</v>
      </c>
    </row>
    <row r="279" spans="1:6" ht="18" x14ac:dyDescent="0.25">
      <c r="B279" s="1">
        <v>279</v>
      </c>
      <c r="D279" s="20" t="s">
        <v>583</v>
      </c>
    </row>
    <row r="280" spans="1:6" x14ac:dyDescent="0.3">
      <c r="A280" s="3" t="s">
        <v>150</v>
      </c>
      <c r="B280" s="1">
        <v>280</v>
      </c>
      <c r="C280" s="18"/>
      <c r="F280" s="11" t="str">
        <f>HYPERLINK("http://www.biblegateway.com/passage/?search=1%20Kings%2017:1-6&amp;version=NIV",A280)</f>
        <v>1 Kings 17:1-6</v>
      </c>
    </row>
    <row r="281" spans="1:6" x14ac:dyDescent="0.3">
      <c r="A281" s="3" t="s">
        <v>151</v>
      </c>
      <c r="B281" s="1">
        <v>281</v>
      </c>
      <c r="C281" s="18"/>
      <c r="F281" s="11" t="str">
        <f>HYPERLINK("http://www.biblegateway.com/passage/?search=1%20Kings%2018:1-2,%2017-46&amp;version=NIV",A281)</f>
        <v>1 Kings 18:1-2, 17-46</v>
      </c>
    </row>
    <row r="282" spans="1:6" ht="31.5" x14ac:dyDescent="0.3">
      <c r="A282" s="4" t="s">
        <v>454</v>
      </c>
      <c r="B282" s="1">
        <v>282</v>
      </c>
      <c r="C282" s="18"/>
      <c r="E282" s="13" t="s">
        <v>633</v>
      </c>
      <c r="F282" s="12" t="str">
        <f>TRIM(MID(A282,FIND(":",A282)+2,500))</f>
        <v>Short transition telling how Ahab and Jezebel decide to keep fighting.</v>
      </c>
    </row>
    <row r="283" spans="1:6" x14ac:dyDescent="0.3">
      <c r="A283" s="3" t="s">
        <v>152</v>
      </c>
      <c r="B283" s="1">
        <v>283</v>
      </c>
      <c r="C283" s="18"/>
      <c r="F283" s="11" t="str">
        <f>HYPERLINK("http://www.biblegateway.com/passage/?search=1%20Kings%2019:1-21&amp;version=NIV",A283)</f>
        <v>1 Kings 19:1-21</v>
      </c>
    </row>
    <row r="284" spans="1:6" ht="31.5" x14ac:dyDescent="0.3">
      <c r="A284" s="4" t="s">
        <v>455</v>
      </c>
      <c r="B284" s="1">
        <v>284</v>
      </c>
      <c r="C284" s="18"/>
      <c r="E284" s="13" t="s">
        <v>633</v>
      </c>
      <c r="F284" s="12" t="str">
        <f>TRIM(MID(A284,FIND(":",A284)+2,500))</f>
        <v>Short transition telling of Ahab’s reign and list of Kings until the ministry of Elisha, transition into the death of Elijah</v>
      </c>
    </row>
    <row r="285" spans="1:6" x14ac:dyDescent="0.3">
      <c r="A285" s="3" t="s">
        <v>153</v>
      </c>
      <c r="B285" s="1">
        <v>285</v>
      </c>
      <c r="C285" s="18"/>
      <c r="F285" s="11" t="str">
        <f>HYPERLINK("http://www.biblegateway.com/passage/?search=2%20Kings%202:1-2,7-15&amp;version=NIV",A285)</f>
        <v>2 Kings 2:1-2,7-15</v>
      </c>
    </row>
    <row r="286" spans="1:6" x14ac:dyDescent="0.3">
      <c r="A286" s="4" t="s">
        <v>456</v>
      </c>
      <c r="B286" s="1">
        <v>286</v>
      </c>
      <c r="C286" s="18"/>
      <c r="E286" s="13" t="s">
        <v>633</v>
      </c>
      <c r="F286" s="12" t="s">
        <v>649</v>
      </c>
    </row>
    <row r="287" spans="1:6" x14ac:dyDescent="0.3">
      <c r="A287" s="3" t="s">
        <v>154</v>
      </c>
      <c r="B287" s="1">
        <v>287</v>
      </c>
      <c r="C287" s="18"/>
      <c r="F287" s="11" t="str">
        <f>HYPERLINK("http://www.biblegateway.com/passage/?search=2%20Kings%204:11-17&amp;version=NIV",A287)</f>
        <v>2 Kings 4:11-17</v>
      </c>
    </row>
    <row r="288" spans="1:6" x14ac:dyDescent="0.3">
      <c r="A288" s="4" t="s">
        <v>457</v>
      </c>
      <c r="B288" s="1">
        <v>288</v>
      </c>
      <c r="C288" s="18"/>
      <c r="E288" s="13" t="s">
        <v>633</v>
      </c>
      <c r="F288" s="12" t="str">
        <f>TRIM(MID(A288,FIND(":",A288)+2,500))</f>
        <v>Short transition of the child dying</v>
      </c>
    </row>
    <row r="289" spans="1:6" x14ac:dyDescent="0.3">
      <c r="A289" s="3" t="s">
        <v>155</v>
      </c>
      <c r="B289" s="1">
        <v>289</v>
      </c>
      <c r="C289" s="18"/>
      <c r="F289" s="11" t="str">
        <f>HYPERLINK("http://www.biblegateway.com/passage/?search=2%20Kings%204:27-37&amp;version=NIV",A289)</f>
        <v>2 Kings 4:27-37</v>
      </c>
    </row>
    <row r="290" spans="1:6" ht="31.5" x14ac:dyDescent="0.3">
      <c r="A290" s="4" t="s">
        <v>458</v>
      </c>
      <c r="B290" s="1">
        <v>290</v>
      </c>
      <c r="C290" s="18"/>
      <c r="E290" s="13" t="s">
        <v>633</v>
      </c>
      <c r="F290" s="12" t="str">
        <f>TRIM(MID(A290,FIND(":",A290)+2,500))</f>
        <v>Short transition to the story of Elisha trapping the blinded Arameans</v>
      </c>
    </row>
    <row r="291" spans="1:6" x14ac:dyDescent="0.3">
      <c r="A291" s="3" t="s">
        <v>156</v>
      </c>
      <c r="B291" s="1">
        <v>291</v>
      </c>
      <c r="C291" s="18"/>
      <c r="F291" s="11" t="str">
        <f>HYPERLINK("http://www.biblegateway.com/passage/?search=2%20Kings%206:8-23&amp;version=NIV",A291)</f>
        <v>2 Kings 6:8-23</v>
      </c>
    </row>
    <row r="292" spans="1:6" ht="78.75" x14ac:dyDescent="0.3">
      <c r="A292" s="4" t="s">
        <v>566</v>
      </c>
      <c r="B292" s="1">
        <v>292</v>
      </c>
      <c r="C292" s="18"/>
      <c r="E292" s="13" t="s">
        <v>633</v>
      </c>
      <c r="F292" s="12" t="s">
        <v>650</v>
      </c>
    </row>
    <row r="293" spans="1:6" x14ac:dyDescent="0.3">
      <c r="A293" s="3" t="s">
        <v>157</v>
      </c>
      <c r="B293" s="1">
        <v>293</v>
      </c>
      <c r="C293" s="18"/>
      <c r="F293" s="11" t="str">
        <f>HYPERLINK("http://www.biblegateway.com/passage/?search=Amos%201:1-2a&amp;version=NIV",A293)</f>
        <v>Amos 1:1-2a</v>
      </c>
    </row>
    <row r="294" spans="1:6" x14ac:dyDescent="0.3">
      <c r="A294" s="3" t="s">
        <v>158</v>
      </c>
      <c r="B294" s="1">
        <v>294</v>
      </c>
      <c r="C294" s="18"/>
      <c r="F294" s="11" t="str">
        <f>HYPERLINK("http://www.biblegateway.com/passage/?search=Amos%203:1-2,9-11&amp;version=NIV",A294)</f>
        <v>Amos 3:1-2,9-11</v>
      </c>
    </row>
    <row r="295" spans="1:6" x14ac:dyDescent="0.3">
      <c r="A295" s="3" t="s">
        <v>159</v>
      </c>
      <c r="B295" s="1">
        <v>295</v>
      </c>
      <c r="C295" s="18"/>
      <c r="F295" s="11" t="str">
        <f>HYPERLINK("http://www.biblegateway.com/passage/?search=Amos%204:2,3,6,10,12&amp;version=NIV",A295)</f>
        <v>Amos 4:2,3,6,10,12</v>
      </c>
    </row>
    <row r="296" spans="1:6" x14ac:dyDescent="0.3">
      <c r="A296" s="3" t="s">
        <v>160</v>
      </c>
      <c r="B296" s="1">
        <v>296</v>
      </c>
      <c r="C296" s="18"/>
      <c r="F296" s="11" t="str">
        <f>HYPERLINK("http://www.biblegateway.com/passage/?search=Amos%205:6a,%2014,15&amp;version=NIV",A296)</f>
        <v>Amos 5:6a, 14,15</v>
      </c>
    </row>
    <row r="297" spans="1:6" x14ac:dyDescent="0.3">
      <c r="A297" s="3" t="s">
        <v>161</v>
      </c>
      <c r="B297" s="1">
        <v>297</v>
      </c>
      <c r="C297" s="18"/>
      <c r="F297" s="11" t="str">
        <f>HYPERLINK("http://www.biblegateway.com/passage/?search=Amos%209:%208&amp;version=NIV",A297)</f>
        <v>Amos 9: 8</v>
      </c>
    </row>
    <row r="298" spans="1:6" x14ac:dyDescent="0.3">
      <c r="A298" s="4" t="s">
        <v>459</v>
      </c>
      <c r="B298" s="1">
        <v>298</v>
      </c>
      <c r="C298" s="18"/>
      <c r="E298" s="13" t="s">
        <v>633</v>
      </c>
      <c r="F298" s="12" t="s">
        <v>651</v>
      </c>
    </row>
    <row r="299" spans="1:6" x14ac:dyDescent="0.3">
      <c r="A299" s="3" t="s">
        <v>162</v>
      </c>
      <c r="B299" s="1">
        <v>299</v>
      </c>
      <c r="C299" s="18"/>
      <c r="F299" s="11" t="str">
        <f>HYPERLINK("http://www.biblegateway.com/passage/?search=Hosea%204:1-2&amp;version=NIV",A299)</f>
        <v>Hosea 4:1-2</v>
      </c>
    </row>
    <row r="300" spans="1:6" x14ac:dyDescent="0.3">
      <c r="A300" s="3" t="s">
        <v>163</v>
      </c>
      <c r="B300" s="1">
        <v>300</v>
      </c>
      <c r="C300" s="18"/>
      <c r="F300" s="11" t="str">
        <f>HYPERLINK("http://www.biblegateway.com/passage/?search=Hosea%205:4,7&amp;version=NIV",A300)</f>
        <v>Hosea 5:4,7</v>
      </c>
    </row>
    <row r="301" spans="1:6" x14ac:dyDescent="0.3">
      <c r="A301" s="3" t="s">
        <v>164</v>
      </c>
      <c r="B301" s="1">
        <v>301</v>
      </c>
      <c r="C301" s="18"/>
      <c r="F301" s="11" t="str">
        <f>HYPERLINK("http://www.biblegateway.com/passage/?search=Hosea%205:14-15&amp;version=NIV",A301)</f>
        <v>Hosea 5:14-15</v>
      </c>
    </row>
    <row r="302" spans="1:6" x14ac:dyDescent="0.3">
      <c r="A302" s="3" t="s">
        <v>165</v>
      </c>
      <c r="B302" s="1">
        <v>302</v>
      </c>
      <c r="C302" s="18"/>
      <c r="F302" s="11" t="str">
        <f>HYPERLINK("http://www.biblegateway.com/passage/?search=Hosea%208:13b-14&amp;version=NIV",A302)</f>
        <v>Hosea 8:13b-14</v>
      </c>
    </row>
    <row r="303" spans="1:6" x14ac:dyDescent="0.3">
      <c r="A303" s="3" t="s">
        <v>166</v>
      </c>
      <c r="B303" s="1">
        <v>303</v>
      </c>
      <c r="C303" s="18"/>
      <c r="F303" s="11" t="str">
        <f>HYPERLINK("http://www.biblegateway.com/passage/?search=Hosea%209:7&amp;version=NIV",A303)</f>
        <v>Hosea 9:7</v>
      </c>
    </row>
    <row r="304" spans="1:6" x14ac:dyDescent="0.3">
      <c r="A304" s="3" t="s">
        <v>167</v>
      </c>
      <c r="B304" s="1">
        <v>304</v>
      </c>
      <c r="C304" s="18"/>
      <c r="F304" s="11" t="str">
        <f>HYPERLINK("http://www.biblegateway.com/passage/?search=Hosea%2014:1-2&amp;version=NIV",A304)</f>
        <v>Hosea 14:1-2</v>
      </c>
    </row>
    <row r="305" spans="1:6" ht="47.25" x14ac:dyDescent="0.3">
      <c r="A305" s="4" t="s">
        <v>460</v>
      </c>
      <c r="B305" s="1">
        <v>305</v>
      </c>
      <c r="C305" s="18"/>
      <c r="E305" s="13" t="s">
        <v>633</v>
      </c>
      <c r="F305" s="12" t="str">
        <f>TRIM(MID(A305,FIND(":",A305)+2,500))</f>
        <v>Short transition: explain that Israel did not repent, and tell of the Kings of Israel and their continued sin and transition into the fall and exile of Israel.</v>
      </c>
    </row>
    <row r="306" spans="1:6" x14ac:dyDescent="0.3">
      <c r="B306" s="1">
        <v>306</v>
      </c>
    </row>
    <row r="307" spans="1:6" x14ac:dyDescent="0.3">
      <c r="B307" s="1">
        <v>307</v>
      </c>
      <c r="C307" s="16" t="s">
        <v>584</v>
      </c>
    </row>
    <row r="308" spans="1:6" ht="18" x14ac:dyDescent="0.25">
      <c r="B308" s="1">
        <v>308</v>
      </c>
      <c r="D308" s="20" t="s">
        <v>585</v>
      </c>
    </row>
    <row r="309" spans="1:6" x14ac:dyDescent="0.3">
      <c r="A309" s="3" t="s">
        <v>168</v>
      </c>
      <c r="B309" s="1">
        <v>309</v>
      </c>
      <c r="C309" s="18"/>
      <c r="F309" s="11" t="str">
        <f>HYPERLINK("http://www.biblegateway.com/passage/?search=2%20Kings%2017:1-7,%2011b-14,%2023b,%2018&amp;version=NIV",A309)</f>
        <v>2 Kings 17:1-7, 11b-14, 23b, 18</v>
      </c>
    </row>
    <row r="310" spans="1:6" x14ac:dyDescent="0.3">
      <c r="A310" s="4" t="s">
        <v>461</v>
      </c>
      <c r="B310" s="1">
        <v>310</v>
      </c>
      <c r="C310" s="18"/>
      <c r="E310" s="13" t="s">
        <v>633</v>
      </c>
      <c r="F310" s="12" t="str">
        <f>TRIM(MID(A310,FIND(":",A310)+2,500))</f>
        <v>Short transition into the story of Hezekiah, King of Judah.</v>
      </c>
    </row>
    <row r="311" spans="1:6" x14ac:dyDescent="0.3">
      <c r="A311" s="3" t="s">
        <v>169</v>
      </c>
      <c r="B311" s="1">
        <v>311</v>
      </c>
      <c r="C311" s="18"/>
      <c r="F311" s="11" t="str">
        <f>HYPERLINK("http://www.biblegateway.com/passage/?search=2%20Kings%2018:1-4a,7,%2017-25,%2028-33&amp;version=NIV",A311)</f>
        <v>2 Kings 18:1-4a,7, 17-25, 28-33</v>
      </c>
    </row>
    <row r="312" spans="1:6" x14ac:dyDescent="0.3">
      <c r="A312" s="4" t="s">
        <v>462</v>
      </c>
      <c r="B312" s="1">
        <v>312</v>
      </c>
      <c r="C312" s="18"/>
      <c r="E312" s="13" t="s">
        <v>633</v>
      </c>
      <c r="F312" s="12" t="str">
        <f>TRIM(MID(A312,FIND(":",A312)+2,500))</f>
        <v>Short transition summing up Sennacherib and Hezekiah.</v>
      </c>
    </row>
    <row r="313" spans="1:6" x14ac:dyDescent="0.3">
      <c r="A313" s="3" t="s">
        <v>170</v>
      </c>
      <c r="B313" s="1">
        <v>313</v>
      </c>
      <c r="C313" s="18"/>
      <c r="F313" s="11" t="str">
        <f>HYPERLINK("http://www.biblegateway.com/passage/?search=2%20Kings%2019:9-21a,%2022-23a,%2027-28,32-37&amp;version=NIV",A313)</f>
        <v>2 Kings 19:9-21a, 22-23a, 27-28,32-37</v>
      </c>
    </row>
    <row r="314" spans="1:6" x14ac:dyDescent="0.3">
      <c r="A314" s="4" t="s">
        <v>463</v>
      </c>
      <c r="B314" s="1">
        <v>314</v>
      </c>
      <c r="C314" s="18"/>
      <c r="E314" s="13" t="s">
        <v>633</v>
      </c>
      <c r="F314" s="12" t="str">
        <f>TRIM(MID(A314,FIND(":",A314)+2,500))</f>
        <v>Short transition into the life and message of Isaiah the prophet</v>
      </c>
    </row>
    <row r="315" spans="1:6" x14ac:dyDescent="0.3">
      <c r="A315" s="3" t="s">
        <v>171</v>
      </c>
      <c r="B315" s="1">
        <v>315</v>
      </c>
      <c r="C315" s="18"/>
      <c r="F315" s="11" t="str">
        <f>HYPERLINK("http://www.biblegateway.com/passage/?search=Isaiah%206:1-8&amp;version=NIV",A315)</f>
        <v>Isaiah 6:1-8</v>
      </c>
    </row>
    <row r="316" spans="1:6" ht="31.5" x14ac:dyDescent="0.3">
      <c r="A316" s="4" t="s">
        <v>464</v>
      </c>
      <c r="B316" s="1">
        <v>316</v>
      </c>
      <c r="C316" s="18"/>
      <c r="E316" s="13" t="s">
        <v>633</v>
      </c>
      <c r="F316" s="12" t="str">
        <f>TRIM(MID(A316,FIND(":",A316)+2,500))</f>
        <v>Short transition into the message of Isaiah. (explain that these things would happen in the future)</v>
      </c>
    </row>
    <row r="317" spans="1:6" x14ac:dyDescent="0.3">
      <c r="A317" s="3" t="s">
        <v>172</v>
      </c>
      <c r="B317" s="1">
        <v>317</v>
      </c>
      <c r="C317" s="18"/>
      <c r="F317" s="11" t="str">
        <f>HYPERLINK("http://www.biblegateway.com/passage/?search=Isaiah%203:1-3,%208,9,%2012b-13&amp;version=NIV",A317)</f>
        <v>Isaiah 3:1-3, 8,9, 12b-13</v>
      </c>
    </row>
    <row r="318" spans="1:6" x14ac:dyDescent="0.3">
      <c r="A318" s="3" t="s">
        <v>173</v>
      </c>
      <c r="B318" s="1">
        <v>318</v>
      </c>
      <c r="C318" s="18"/>
      <c r="F318" s="11" t="str">
        <f>HYPERLINK("http://www.biblegateway.com/passage/?search=Isaiah%2013:4-5&amp;version=NIV",A318)</f>
        <v>Isaiah 13:4-5</v>
      </c>
    </row>
    <row r="319" spans="1:6" ht="31.5" x14ac:dyDescent="0.3">
      <c r="A319" s="4" t="s">
        <v>465</v>
      </c>
      <c r="B319" s="1">
        <v>319</v>
      </c>
      <c r="C319" s="18"/>
      <c r="E319" s="13" t="s">
        <v>633</v>
      </c>
      <c r="F319" s="12" t="str">
        <f>TRIM(MID(A319,FIND(":",A319)+2,500))</f>
        <v>Short transition explaining that God will have mercy on Israel and bring them back from Babylonian captivity.</v>
      </c>
    </row>
    <row r="320" spans="1:6" x14ac:dyDescent="0.3">
      <c r="A320" s="3" t="s">
        <v>174</v>
      </c>
      <c r="B320" s="1">
        <v>320</v>
      </c>
      <c r="C320" s="18"/>
      <c r="F320" s="11" t="str">
        <f>HYPERLINK("http://www.biblegateway.com/passage/?search=Isaiah%2014:1-5&amp;version=NIV",A320)</f>
        <v>Isaiah 14:1-5</v>
      </c>
    </row>
    <row r="321" spans="1:6" x14ac:dyDescent="0.3">
      <c r="A321" s="3" t="s">
        <v>175</v>
      </c>
      <c r="B321" s="1">
        <v>321</v>
      </c>
      <c r="C321" s="18"/>
      <c r="F321" s="11" t="str">
        <f>HYPERLINK("http://www.biblegateway.com/passage/?search=Isaiah%2049:8-9a,%2013-18,%2023c,%2026b&amp;version=NIV",A321)</f>
        <v>Isaiah 49:8-9a, 13-18, 23c, 26b</v>
      </c>
    </row>
    <row r="322" spans="1:6" x14ac:dyDescent="0.3">
      <c r="A322" s="4" t="s">
        <v>466</v>
      </c>
      <c r="B322" s="1">
        <v>322</v>
      </c>
      <c r="C322" s="18"/>
      <c r="E322" s="13" t="s">
        <v>633</v>
      </c>
      <c r="F322" s="12" t="str">
        <f>TRIM(MID(A322,FIND(":",A322)+2,500))</f>
        <v>The future Messiah</v>
      </c>
    </row>
    <row r="323" spans="1:6" x14ac:dyDescent="0.3">
      <c r="A323" s="3" t="s">
        <v>176</v>
      </c>
      <c r="B323" s="1">
        <v>323</v>
      </c>
      <c r="C323" s="18"/>
      <c r="F323" s="11" t="str">
        <f>HYPERLINK("http://www.biblegateway.com/passage/?search=Isaiah%2053&amp;version=NIV",A323)</f>
        <v>Isaiah 53</v>
      </c>
    </row>
    <row r="324" spans="1:6" ht="31.5" x14ac:dyDescent="0.3">
      <c r="A324" s="4" t="s">
        <v>467</v>
      </c>
      <c r="B324" s="1">
        <v>324</v>
      </c>
      <c r="C324" s="18"/>
      <c r="E324" s="13" t="s">
        <v>633</v>
      </c>
      <c r="F324" s="12" t="str">
        <f>TRIM(MID(A324,FIND(":",A324)+2,500))</f>
        <v>Short transition into the story of Manasseh King of Judah (son of Hezekiah)</v>
      </c>
    </row>
    <row r="325" spans="1:6" x14ac:dyDescent="0.3">
      <c r="B325" s="1">
        <v>325</v>
      </c>
    </row>
    <row r="326" spans="1:6" x14ac:dyDescent="0.3">
      <c r="B326" s="1">
        <v>326</v>
      </c>
      <c r="C326" s="16" t="s">
        <v>586</v>
      </c>
    </row>
    <row r="327" spans="1:6" ht="18" x14ac:dyDescent="0.25">
      <c r="B327" s="1">
        <v>327</v>
      </c>
      <c r="D327" s="20" t="s">
        <v>587</v>
      </c>
    </row>
    <row r="328" spans="1:6" x14ac:dyDescent="0.3">
      <c r="A328" s="3" t="s">
        <v>177</v>
      </c>
      <c r="B328" s="1">
        <v>328</v>
      </c>
      <c r="C328" s="18"/>
      <c r="F328" s="11" t="str">
        <f>HYPERLINK("http://www.biblegateway.com/passage/?search=2%20Kings%2021:1a,2-16&amp;version=NIV",A328)</f>
        <v>2 Kings 21:1a,2-16</v>
      </c>
    </row>
    <row r="329" spans="1:6" x14ac:dyDescent="0.3">
      <c r="A329" s="3" t="s">
        <v>178</v>
      </c>
      <c r="B329" s="1">
        <v>329</v>
      </c>
      <c r="C329" s="18"/>
      <c r="F329" s="11" t="str">
        <f>HYPERLINK("http://www.biblegateway.com/passage/?search=2%20Chronicles%2033:10-13&amp;version=NIV",A329)</f>
        <v>2 Chronicles 33:10-13</v>
      </c>
    </row>
    <row r="330" spans="1:6" x14ac:dyDescent="0.3">
      <c r="A330" s="4" t="s">
        <v>468</v>
      </c>
      <c r="B330" s="1">
        <v>330</v>
      </c>
      <c r="C330" s="18"/>
      <c r="E330" s="13" t="s">
        <v>633</v>
      </c>
      <c r="F330" s="12" t="str">
        <f>TRIM(MID(A330,FIND(":",A330)+2,500))</f>
        <v>Short transition to Amon</v>
      </c>
    </row>
    <row r="331" spans="1:6" x14ac:dyDescent="0.3">
      <c r="A331" s="3" t="s">
        <v>179</v>
      </c>
      <c r="B331" s="1">
        <v>331</v>
      </c>
      <c r="C331" s="18"/>
      <c r="F331" s="11" t="str">
        <f>HYPERLINK("http://www.biblegateway.com/passage/?search=2%20Chronicles%2033:21-25&amp;version=NIV",A331)</f>
        <v>2 Chronicles 33:21-25</v>
      </c>
    </row>
    <row r="332" spans="1:6" ht="63" x14ac:dyDescent="0.3">
      <c r="A332" s="4" t="s">
        <v>469</v>
      </c>
      <c r="B332" s="1">
        <v>332</v>
      </c>
      <c r="C332" s="18"/>
      <c r="E332" s="13" t="s">
        <v>633</v>
      </c>
      <c r="F332" s="12" t="str">
        <f>TRIM(MID(A332,FIND(":",A332)+2,500))</f>
        <v>Long transition explaining the rest of the Kings of Judah, tell of Josiah burning bones on the altar at Bethel (in keeping with the Prophesy). Lead up to story of Jehoiakim and the exile of the Jews.</v>
      </c>
    </row>
    <row r="333" spans="1:6" x14ac:dyDescent="0.3">
      <c r="A333" s="3" t="s">
        <v>180</v>
      </c>
      <c r="B333" s="1">
        <v>333</v>
      </c>
      <c r="C333" s="18"/>
      <c r="F333" s="11" t="str">
        <f>HYPERLINK("http://www.biblegateway.com/passage/?search=2%20Kings%2023:36a,%2037&amp;version=NIV",A333)</f>
        <v>2 Kings 23:36a, 37</v>
      </c>
    </row>
    <row r="334" spans="1:6" x14ac:dyDescent="0.3">
      <c r="A334" s="3" t="s">
        <v>181</v>
      </c>
      <c r="B334" s="1">
        <v>334</v>
      </c>
      <c r="C334" s="18"/>
      <c r="F334" s="11" t="str">
        <f>HYPERLINK("http://www.biblegateway.com/passage/?search=2%20Kings%2024:1-2,6,%208-17&amp;version=NIV",A334)</f>
        <v>2 Kings 24:1-2,6, 8-17</v>
      </c>
    </row>
    <row r="335" spans="1:6" ht="31.5" x14ac:dyDescent="0.3">
      <c r="A335" s="4" t="s">
        <v>470</v>
      </c>
      <c r="B335" s="1">
        <v>335</v>
      </c>
      <c r="C335" s="18"/>
      <c r="E335" s="13" t="s">
        <v>633</v>
      </c>
      <c r="F335" s="12" t="str">
        <f>TRIM(MID(A335,FIND(":",A335)+2,500))</f>
        <v>Short transition explaining that while the Israelites were in exile God called up one of them to be a prophet (Ezekiel)</v>
      </c>
    </row>
    <row r="336" spans="1:6" x14ac:dyDescent="0.3">
      <c r="A336" s="3" t="s">
        <v>182</v>
      </c>
      <c r="B336" s="1">
        <v>336</v>
      </c>
      <c r="C336" s="18"/>
      <c r="F336" s="11" t="str">
        <f>HYPERLINK("http://www.biblegateway.com/passage/?search=Ezekiel%201:1,4-6,%2022-28&amp;version=NIV",A336)</f>
        <v>Ezekiel 1:1,4-6, 22-28</v>
      </c>
    </row>
    <row r="337" spans="1:6" x14ac:dyDescent="0.3">
      <c r="A337" s="3" t="s">
        <v>183</v>
      </c>
      <c r="B337" s="1">
        <v>337</v>
      </c>
      <c r="C337" s="18"/>
      <c r="F337" s="11" t="str">
        <f>HYPERLINK("http://www.biblegateway.com/passage/?search=Ezekiel%202:%201-4,%206-7&amp;version=NIV",A337)</f>
        <v>Ezekiel 2: 1-4, 6-7</v>
      </c>
    </row>
    <row r="338" spans="1:6" x14ac:dyDescent="0.3">
      <c r="A338" s="3" t="s">
        <v>184</v>
      </c>
      <c r="B338" s="1">
        <v>338</v>
      </c>
      <c r="C338" s="18"/>
      <c r="F338" s="11" t="str">
        <f>HYPERLINK("http://www.biblegateway.com/passage/?search=Ezekiel%206:1-10&amp;version=NIV",A338)</f>
        <v>Ezekiel 6:1-10</v>
      </c>
    </row>
    <row r="339" spans="1:6" x14ac:dyDescent="0.3">
      <c r="A339" s="3" t="s">
        <v>185</v>
      </c>
      <c r="B339" s="1">
        <v>339</v>
      </c>
      <c r="C339" s="18"/>
      <c r="F339" s="11" t="str">
        <f>HYPERLINK("http://www.biblegateway.com/passage/?search=Ezekiel%207:5,7-8&amp;version=NIV",A339)</f>
        <v>Ezekiel 7:5,7-8</v>
      </c>
    </row>
    <row r="340" spans="1:6" ht="47.25" x14ac:dyDescent="0.3">
      <c r="A340" s="4" t="s">
        <v>471</v>
      </c>
      <c r="B340" s="1">
        <v>340</v>
      </c>
      <c r="C340" s="18"/>
      <c r="E340" s="13" t="s">
        <v>633</v>
      </c>
      <c r="F340" s="12" t="str">
        <f>TRIM(MID(A340,FIND(":",A340)+2,500))</f>
        <v>Short transition summing up the exile of the Jews, and tell of Zedekiah becoming king (an evil king), introduce Jeremiah and transition into the life and message of Jeremiah.</v>
      </c>
    </row>
    <row r="341" spans="1:6" x14ac:dyDescent="0.3">
      <c r="A341" s="3" t="s">
        <v>186</v>
      </c>
      <c r="B341" s="1">
        <v>341</v>
      </c>
      <c r="C341" s="18"/>
      <c r="F341" s="11" t="str">
        <f>HYPERLINK("http://www.biblegateway.com/passage/?search=Jeremiah%201:4-10,18-19&amp;version=NIV",A341)</f>
        <v>Jeremiah 1:4-10,18-19</v>
      </c>
    </row>
    <row r="342" spans="1:6" x14ac:dyDescent="0.3">
      <c r="A342" s="4" t="s">
        <v>472</v>
      </c>
      <c r="B342" s="1">
        <v>342</v>
      </c>
      <c r="C342" s="18"/>
      <c r="E342" s="13" t="s">
        <v>633</v>
      </c>
      <c r="F342" s="12" t="str">
        <f>TRIM(MID(A342,FIND(":",A342)+2,500))</f>
        <v>Short transition about Jeremiah as prophet.</v>
      </c>
    </row>
    <row r="343" spans="1:6" x14ac:dyDescent="0.3">
      <c r="A343" s="3" t="s">
        <v>187</v>
      </c>
      <c r="B343" s="1">
        <v>343</v>
      </c>
      <c r="C343" s="18"/>
      <c r="F343" s="11" t="str">
        <f>HYPERLINK("http://www.biblegateway.com/passage/?search=Jeremiah%202:4,%2011-13,%2020a,21-22,26-28&amp;version=NIV",A343)</f>
        <v>Jeremiah 2:4, 11-13, 20a,21-22,26-28</v>
      </c>
    </row>
    <row r="344" spans="1:6" x14ac:dyDescent="0.3">
      <c r="A344" s="3" t="s">
        <v>188</v>
      </c>
      <c r="B344" s="1">
        <v>344</v>
      </c>
      <c r="C344" s="18"/>
      <c r="F344" s="11" t="str">
        <f>HYPERLINK("http://www.biblegateway.com/passage/?search=Jeremiah%204:5-8&amp;version=NIV",A344)</f>
        <v>Jeremiah 4:5-8</v>
      </c>
    </row>
    <row r="345" spans="1:6" x14ac:dyDescent="0.3">
      <c r="A345" s="3" t="s">
        <v>189</v>
      </c>
      <c r="B345" s="1">
        <v>345</v>
      </c>
      <c r="C345" s="18"/>
      <c r="F345" s="11" t="str">
        <f>HYPERLINK("http://www.biblegateway.com/passage/?search=Jeremiah%205:1&amp;version=NIV",A345)</f>
        <v>Jeremiah 5:1</v>
      </c>
    </row>
    <row r="346" spans="1:6" x14ac:dyDescent="0.3">
      <c r="A346" s="3" t="s">
        <v>190</v>
      </c>
      <c r="B346" s="1">
        <v>346</v>
      </c>
      <c r="C346" s="18"/>
      <c r="F346" s="11" t="str">
        <f>HYPERLINK("http://www.biblegateway.com/passage/?search=Jeremiah%2013:17-19&amp;version=NIV",A346)</f>
        <v>Jeremiah 13:17-19</v>
      </c>
    </row>
    <row r="347" spans="1:6" ht="31.5" x14ac:dyDescent="0.3">
      <c r="A347" s="4" t="s">
        <v>473</v>
      </c>
      <c r="B347" s="1">
        <v>347</v>
      </c>
      <c r="C347" s="18"/>
      <c r="E347" s="13" t="s">
        <v>633</v>
      </c>
      <c r="F347" s="12" t="str">
        <f>TRIM(MID(A347,FIND(":",A347)+2,500))</f>
        <v>Short transition explaining that King Zedekiah did not listen to the warnings of Jeremiah.</v>
      </c>
    </row>
    <row r="348" spans="1:6" x14ac:dyDescent="0.3">
      <c r="A348" s="3" t="s">
        <v>191</v>
      </c>
      <c r="B348" s="1">
        <v>348</v>
      </c>
      <c r="C348" s="18"/>
      <c r="F348" s="11" t="str">
        <f>HYPERLINK("http://www.biblegateway.com/passage/?search=2%20Chronicles%2036:15-16&amp;version=NIV",A348)</f>
        <v>2 Chronicles 36:15-16</v>
      </c>
    </row>
    <row r="349" spans="1:6" x14ac:dyDescent="0.3">
      <c r="A349" s="3" t="s">
        <v>192</v>
      </c>
      <c r="B349" s="1">
        <v>349</v>
      </c>
      <c r="C349" s="18"/>
      <c r="F349" s="11" t="str">
        <f>HYPERLINK("http://www.biblegateway.com/passage/?search=2%20Chronicles%2036:11-14&amp;version=NIV",A349)</f>
        <v>2 Chronicles 36:11-14</v>
      </c>
    </row>
    <row r="350" spans="1:6" x14ac:dyDescent="0.3">
      <c r="A350" s="3" t="s">
        <v>193</v>
      </c>
      <c r="B350" s="1">
        <v>350</v>
      </c>
      <c r="C350" s="18"/>
      <c r="F350" s="11" t="str">
        <f>HYPERLINK("http://www.biblegateway.com/passage/?search=2%20Kings%2025:1-3&amp;version=NIV",A350)</f>
        <v>2 Kings 25:1-3</v>
      </c>
    </row>
    <row r="351" spans="1:6" ht="31.5" x14ac:dyDescent="0.3">
      <c r="A351" s="4" t="s">
        <v>474</v>
      </c>
      <c r="B351" s="1">
        <v>351</v>
      </c>
      <c r="C351" s="18"/>
      <c r="E351" s="13" t="s">
        <v>633</v>
      </c>
      <c r="F351" s="12" t="str">
        <f>TRIM(MID(A351,FIND(":",A351)+2,500))</f>
        <v>Short transition into the conversation between Jeremiah and Zedekiah.</v>
      </c>
    </row>
    <row r="352" spans="1:6" x14ac:dyDescent="0.3">
      <c r="A352" s="3" t="s">
        <v>194</v>
      </c>
      <c r="B352" s="1">
        <v>352</v>
      </c>
      <c r="C352" s="18"/>
      <c r="F352" s="11" t="str">
        <f>HYPERLINK("http://www.biblegateway.com/passage/?search=Jeremiah%2021:1-10&amp;version=NIV",A352)</f>
        <v>Jeremiah 21:1-10</v>
      </c>
    </row>
    <row r="353" spans="1:6" x14ac:dyDescent="0.3">
      <c r="A353" s="3" t="s">
        <v>195</v>
      </c>
      <c r="B353" s="1">
        <v>353</v>
      </c>
      <c r="C353" s="18"/>
      <c r="F353" s="11" t="str">
        <f>HYPERLINK("http://www.biblegateway.com/passage/?search=2%20Kings%2025:4-12,21b&amp;version=NIV",A353)</f>
        <v>2 Kings 25:4-12,21b</v>
      </c>
    </row>
    <row r="354" spans="1:6" ht="63" x14ac:dyDescent="0.3">
      <c r="A354" s="4" t="s">
        <v>475</v>
      </c>
      <c r="B354" s="1">
        <v>354</v>
      </c>
      <c r="C354" s="18"/>
      <c r="E354" s="13" t="s">
        <v>633</v>
      </c>
      <c r="F354" s="12" t="str">
        <f>TRIM(MID(A354,FIND(":",A354)+2,500))</f>
        <v>Short transition explaining that God promised Jeremiah that he would be spared from exile because he trusted in God, and explain that Jeremiah was set free and allowed to go where he wanted to. Transition into Jeremiah’s lamentations.</v>
      </c>
    </row>
    <row r="355" spans="1:6" x14ac:dyDescent="0.3">
      <c r="A355" s="3" t="s">
        <v>196</v>
      </c>
      <c r="B355" s="1">
        <v>355</v>
      </c>
      <c r="C355" s="18"/>
      <c r="F355" s="11" t="str">
        <f>HYPERLINK("http://www.biblegateway.com/passage/?search=Lamentations%201:1-3&amp;version=NIV",A355)</f>
        <v>Lamentations 1:1-3</v>
      </c>
    </row>
    <row r="356" spans="1:6" x14ac:dyDescent="0.3">
      <c r="A356" s="3" t="s">
        <v>197</v>
      </c>
      <c r="B356" s="1">
        <v>356</v>
      </c>
      <c r="C356" s="18"/>
      <c r="F356" s="11" t="str">
        <f>HYPERLINK("http://www.biblegateway.com/passage/?search=Lamentations%202:17&amp;version=NIV",A356)</f>
        <v>Lamentations 2:17</v>
      </c>
    </row>
    <row r="357" spans="1:6" x14ac:dyDescent="0.3">
      <c r="A357" s="3" t="s">
        <v>198</v>
      </c>
      <c r="B357" s="1">
        <v>357</v>
      </c>
      <c r="C357" s="18"/>
      <c r="F357" s="11" t="str">
        <f>HYPERLINK("http://www.biblegateway.com/passage/?search=Lamentations%203:21-26&amp;version=NIV",A357)</f>
        <v>Lamentations 3:21-26</v>
      </c>
    </row>
    <row r="358" spans="1:6" x14ac:dyDescent="0.3">
      <c r="A358" s="3" t="s">
        <v>199</v>
      </c>
      <c r="B358" s="1">
        <v>358</v>
      </c>
      <c r="C358" s="18"/>
      <c r="F358" s="11" t="str">
        <f>HYPERLINK("http://www.biblegateway.com/passage/?search=Lamentations%205:1,15-16,%2019-21&amp;version=NIV",A358)</f>
        <v>Lamentations 5:1,15-16, 19-21</v>
      </c>
    </row>
    <row r="359" spans="1:6" ht="63" x14ac:dyDescent="0.3">
      <c r="A359" s="4" t="s">
        <v>476</v>
      </c>
      <c r="B359" s="1">
        <v>359</v>
      </c>
      <c r="C359" s="18"/>
      <c r="E359" s="13" t="s">
        <v>633</v>
      </c>
      <c r="F359" s="12" t="s">
        <v>652</v>
      </c>
    </row>
    <row r="360" spans="1:6" x14ac:dyDescent="0.3">
      <c r="A360" s="3" t="s">
        <v>200</v>
      </c>
      <c r="B360" s="1">
        <v>360</v>
      </c>
      <c r="C360" s="18"/>
      <c r="F360" s="11" t="str">
        <f>HYPERLINK("http://www.biblegateway.com/passage/?search=Ezekiel%2036:22-28,33-36&amp;version=NIV",A360)</f>
        <v>Ezekiel 36:22-28,33-36</v>
      </c>
    </row>
    <row r="361" spans="1:6" x14ac:dyDescent="0.3">
      <c r="A361" s="3" t="s">
        <v>201</v>
      </c>
      <c r="B361" s="1">
        <v>361</v>
      </c>
      <c r="C361" s="18"/>
      <c r="F361" s="11" t="str">
        <f>HYPERLINK("http://www.biblegateway.com/passage/?search=Ezekiel%2037:1-14&amp;version=NIV",A361)</f>
        <v>Ezekiel 37:1-14</v>
      </c>
    </row>
    <row r="362" spans="1:6" x14ac:dyDescent="0.3">
      <c r="B362" s="1">
        <v>362</v>
      </c>
    </row>
    <row r="363" spans="1:6" x14ac:dyDescent="0.3">
      <c r="B363" s="1">
        <v>363</v>
      </c>
      <c r="C363" s="16" t="s">
        <v>588</v>
      </c>
    </row>
    <row r="364" spans="1:6" ht="18" x14ac:dyDescent="0.25">
      <c r="B364" s="1">
        <v>364</v>
      </c>
      <c r="D364" s="20" t="s">
        <v>589</v>
      </c>
    </row>
    <row r="365" spans="1:6" x14ac:dyDescent="0.3">
      <c r="A365" s="4" t="s">
        <v>477</v>
      </c>
      <c r="B365" s="1">
        <v>365</v>
      </c>
      <c r="C365" s="18"/>
      <c r="E365" s="13" t="s">
        <v>633</v>
      </c>
      <c r="F365" s="12" t="str">
        <f>TRIM(MID(A365,FIND(":",A365)+2,500))</f>
        <v>Short transition into the story of Daniel.</v>
      </c>
    </row>
    <row r="366" spans="1:6" x14ac:dyDescent="0.3">
      <c r="A366" s="3" t="s">
        <v>202</v>
      </c>
      <c r="B366" s="1">
        <v>366</v>
      </c>
      <c r="C366" s="18"/>
      <c r="F366" s="11" t="str">
        <f>HYPERLINK("http://www.biblegateway.com/passage/?search=Daniel%201:3-21&amp;version=NIV",A366)</f>
        <v>Daniel 1:3-21</v>
      </c>
    </row>
    <row r="367" spans="1:6" x14ac:dyDescent="0.3">
      <c r="A367" s="3" t="s">
        <v>203</v>
      </c>
      <c r="B367" s="1">
        <v>367</v>
      </c>
      <c r="C367" s="18"/>
      <c r="F367" s="11" t="str">
        <f>HYPERLINK("http://www.biblegateway.com/passage/?search=Daniel%202:1-30&amp;version=NIV",A367)</f>
        <v>Daniel 2:1-30</v>
      </c>
    </row>
    <row r="368" spans="1:6" x14ac:dyDescent="0.3">
      <c r="A368" s="4" t="s">
        <v>478</v>
      </c>
      <c r="B368" s="1">
        <v>368</v>
      </c>
      <c r="C368" s="18"/>
      <c r="E368" s="13" t="s">
        <v>633</v>
      </c>
      <c r="F368" s="12" t="str">
        <f>TRIM(MID(A368,FIND(":",A368)+2,500))</f>
        <v>Long transition telling of Daniel’s interpretation of the dream</v>
      </c>
    </row>
    <row r="369" spans="1:6" x14ac:dyDescent="0.3">
      <c r="A369" s="3" t="s">
        <v>204</v>
      </c>
      <c r="B369" s="1">
        <v>369</v>
      </c>
      <c r="C369" s="18"/>
      <c r="F369" s="11" t="str">
        <f>HYPERLINK("http://www.biblegateway.com/passage/?search=Daniel%202:46-49&amp;version=NIV",A369)</f>
        <v>Daniel 2:46-49</v>
      </c>
    </row>
    <row r="370" spans="1:6" x14ac:dyDescent="0.3">
      <c r="A370" s="4" t="s">
        <v>479</v>
      </c>
      <c r="B370" s="1">
        <v>370</v>
      </c>
      <c r="C370" s="18"/>
      <c r="E370" s="13" t="s">
        <v>633</v>
      </c>
      <c r="F370" s="12" t="str">
        <f>TRIM(MID(A370,FIND(":",A370)+2,500))</f>
        <v>Short transition into the story of the fiery furnace.</v>
      </c>
    </row>
    <row r="371" spans="1:6" x14ac:dyDescent="0.3">
      <c r="A371" s="3" t="s">
        <v>205</v>
      </c>
      <c r="B371" s="1">
        <v>371</v>
      </c>
      <c r="C371" s="18"/>
      <c r="F371" s="11" t="str">
        <f>HYPERLINK("http://www.biblegateway.com/passage/?search=Daniel%203:1-30&amp;version=NIV",A371)</f>
        <v>Daniel 3:1-30</v>
      </c>
    </row>
    <row r="372" spans="1:6" ht="31.5" x14ac:dyDescent="0.3">
      <c r="A372" s="4" t="s">
        <v>480</v>
      </c>
      <c r="B372" s="1">
        <v>372</v>
      </c>
      <c r="C372" s="18"/>
      <c r="E372" s="13" t="s">
        <v>633</v>
      </c>
      <c r="F372" s="12" t="str">
        <f>TRIM(MID(A372,FIND(":",A372)+2,500))</f>
        <v>Long transition telling of king Nebuchadnezzar losing his mind, Belshazzar’s feast and death, and Darius becoming king.</v>
      </c>
    </row>
    <row r="373" spans="1:6" x14ac:dyDescent="0.3">
      <c r="A373" s="3" t="s">
        <v>206</v>
      </c>
      <c r="B373" s="1">
        <v>373</v>
      </c>
      <c r="C373" s="18"/>
      <c r="F373" s="11" t="str">
        <f>HYPERLINK("http://www.biblegateway.com/passage/?search=Daniel%206:1-27&amp;version=NIV",A373)</f>
        <v>Daniel 6:1-27</v>
      </c>
    </row>
    <row r="374" spans="1:6" x14ac:dyDescent="0.3">
      <c r="A374" s="4" t="s">
        <v>481</v>
      </c>
      <c r="B374" s="1">
        <v>374</v>
      </c>
      <c r="C374" s="18"/>
      <c r="E374" s="13" t="s">
        <v>633</v>
      </c>
      <c r="F374" s="12" t="str">
        <f>TRIM(MID(A374,FIND(":",A374)+2,500))</f>
        <v>Short transition about Jeremiah’s declaration of restoration.</v>
      </c>
    </row>
    <row r="375" spans="1:6" x14ac:dyDescent="0.3">
      <c r="A375" s="3" t="s">
        <v>207</v>
      </c>
      <c r="B375" s="1">
        <v>375</v>
      </c>
      <c r="C375" s="18"/>
      <c r="F375" s="11" t="str">
        <f>HYPERLINK("http://www.biblegateway.com/passage/?search=Jeremiah%2030:%202-3,%208,10,11&amp;version=NIV",A375)</f>
        <v>Jeremiah 30: 2-3, 8,10,11</v>
      </c>
    </row>
    <row r="376" spans="1:6" x14ac:dyDescent="0.3">
      <c r="A376" s="3" t="s">
        <v>208</v>
      </c>
      <c r="B376" s="1">
        <v>376</v>
      </c>
      <c r="C376" s="18"/>
      <c r="F376" s="11" t="str">
        <f>HYPERLINK("http://www.biblegateway.com/passage/?search=Jeremiah%2031:23-25;&amp;version=NIV",A376)</f>
        <v>Jeremiah 31:23-25;</v>
      </c>
    </row>
    <row r="377" spans="1:6" x14ac:dyDescent="0.3">
      <c r="A377" s="3" t="s">
        <v>209</v>
      </c>
      <c r="B377" s="1">
        <v>377</v>
      </c>
      <c r="C377" s="18"/>
      <c r="F377" s="11" t="str">
        <f>HYPERLINK("http://www.biblegateway.com/passage/?search=Jeremiah%2029:10-14&amp;version=NIV",A377)</f>
        <v>Jeremiah 29:10-14</v>
      </c>
    </row>
    <row r="378" spans="1:6" x14ac:dyDescent="0.3">
      <c r="A378" s="4" t="s">
        <v>482</v>
      </c>
      <c r="B378" s="1">
        <v>378</v>
      </c>
      <c r="C378" s="18"/>
      <c r="E378" s="13" t="s">
        <v>633</v>
      </c>
      <c r="F378" s="12" t="str">
        <f>TRIM(MID(A378,FIND(":",A378)+2,500))</f>
        <v>Short transition about the people going home.</v>
      </c>
    </row>
    <row r="379" spans="1:6" x14ac:dyDescent="0.3">
      <c r="B379" s="1">
        <v>379</v>
      </c>
    </row>
    <row r="380" spans="1:6" x14ac:dyDescent="0.3">
      <c r="B380" s="1">
        <v>380</v>
      </c>
      <c r="C380" s="16" t="s">
        <v>590</v>
      </c>
    </row>
    <row r="381" spans="1:6" ht="18" x14ac:dyDescent="0.25">
      <c r="B381" s="1">
        <v>381</v>
      </c>
      <c r="D381" s="20" t="s">
        <v>591</v>
      </c>
    </row>
    <row r="382" spans="1:6" x14ac:dyDescent="0.3">
      <c r="A382" s="3" t="s">
        <v>210</v>
      </c>
      <c r="B382" s="1">
        <v>382</v>
      </c>
      <c r="C382" s="18"/>
      <c r="F382" s="11" t="str">
        <f>HYPERLINK("http://www.biblegateway.com/passage/?search=Ezra%201:1-7,11&amp;version=NIV",A382)</f>
        <v>Ezra 1:1-7,11</v>
      </c>
    </row>
    <row r="383" spans="1:6" x14ac:dyDescent="0.3">
      <c r="A383" s="3" t="s">
        <v>211</v>
      </c>
      <c r="B383" s="1">
        <v>383</v>
      </c>
      <c r="C383" s="18"/>
      <c r="F383" s="11" t="str">
        <f>HYPERLINK("http://www.biblegateway.com/passage/?search=Ezra%202:64-67&amp;version=NIV",A383)</f>
        <v>Ezra 2:64-67</v>
      </c>
    </row>
    <row r="384" spans="1:6" ht="31.5" x14ac:dyDescent="0.3">
      <c r="A384" s="4" t="s">
        <v>483</v>
      </c>
      <c r="B384" s="1">
        <v>384</v>
      </c>
      <c r="C384" s="18"/>
      <c r="E384" s="13" t="s">
        <v>633</v>
      </c>
      <c r="F384" s="12" t="str">
        <f>TRIM(MID(A384,FIND(":",A384)+2,500))</f>
        <v>Short transition telling of how many Jews returned to Judah and Jerusalem, each to his own town.</v>
      </c>
    </row>
    <row r="385" spans="1:6" x14ac:dyDescent="0.3">
      <c r="A385" s="3" t="s">
        <v>212</v>
      </c>
      <c r="B385" s="1">
        <v>385</v>
      </c>
      <c r="C385" s="18"/>
      <c r="F385" s="11" t="str">
        <f>HYPERLINK("http://www.biblegateway.com/passage/?search=Ezra%203:1-5,%2010-13&amp;version=NIV",A385)</f>
        <v>Ezra 3:1-5, 10-13</v>
      </c>
    </row>
    <row r="386" spans="1:6" x14ac:dyDescent="0.3">
      <c r="A386" s="3" t="s">
        <v>213</v>
      </c>
      <c r="B386" s="1">
        <v>386</v>
      </c>
      <c r="C386" s="18"/>
      <c r="F386" s="11" t="str">
        <f>HYPERLINK("http://www.biblegateway.com/passage/?search=Ezra%204:1-5,24&amp;version=NIV",A386)</f>
        <v>Ezra 4:1-5,24</v>
      </c>
    </row>
    <row r="387" spans="1:6" x14ac:dyDescent="0.3">
      <c r="A387" s="4" t="s">
        <v>484</v>
      </c>
      <c r="B387" s="1">
        <v>387</v>
      </c>
      <c r="C387" s="18"/>
      <c r="E387" s="13" t="s">
        <v>633</v>
      </c>
      <c r="F387" s="12" t="str">
        <f>TRIM(MID(A387,FIND(":",A387)+2,500))</f>
        <v>Short transition into the message of Haggai</v>
      </c>
    </row>
    <row r="388" spans="1:6" x14ac:dyDescent="0.3">
      <c r="A388" s="3" t="s">
        <v>214</v>
      </c>
      <c r="B388" s="1">
        <v>388</v>
      </c>
      <c r="C388" s="18"/>
      <c r="F388" s="11" t="str">
        <f>HYPERLINK("http://www.biblegateway.com/passage/?search=Haggai%201:1-15&amp;version=NIV",A388)</f>
        <v>Haggai 1:1-15</v>
      </c>
    </row>
    <row r="389" spans="1:6" x14ac:dyDescent="0.3">
      <c r="A389" s="4" t="s">
        <v>485</v>
      </c>
      <c r="B389" s="1">
        <v>389</v>
      </c>
      <c r="C389" s="18"/>
      <c r="E389" s="13" t="s">
        <v>633</v>
      </c>
      <c r="F389" s="12" t="str">
        <f>TRIM(MID(A389,FIND(":",A389)+2,500))</f>
        <v>Short transition into the second portion of Haggai’s message</v>
      </c>
    </row>
    <row r="390" spans="1:6" x14ac:dyDescent="0.3">
      <c r="A390" s="3" t="s">
        <v>215</v>
      </c>
      <c r="B390" s="1">
        <v>390</v>
      </c>
      <c r="C390" s="18"/>
      <c r="F390" s="11" t="str">
        <f>HYPERLINK("http://www.biblegateway.com/passage/?search=Haggai%202:1-9&amp;version=NIV",A390)</f>
        <v>Haggai 2:1-9</v>
      </c>
    </row>
    <row r="391" spans="1:6" x14ac:dyDescent="0.3">
      <c r="A391" s="4" t="s">
        <v>486</v>
      </c>
      <c r="B391" s="1">
        <v>391</v>
      </c>
      <c r="C391" s="18"/>
      <c r="E391" s="13" t="s">
        <v>633</v>
      </c>
      <c r="F391" s="12" t="str">
        <f>TRIM(MID(A391,FIND(":",A391)+2,500))</f>
        <v>Short transition into the message of Zechariah</v>
      </c>
    </row>
    <row r="392" spans="1:6" x14ac:dyDescent="0.3">
      <c r="A392" s="3" t="s">
        <v>216</v>
      </c>
      <c r="B392" s="1">
        <v>392</v>
      </c>
      <c r="C392" s="18"/>
      <c r="F392" s="11" t="str">
        <f>HYPERLINK("http://www.biblegateway.com/passage/?search=Zechariah%201:1&amp;version=NIV",A392)</f>
        <v>Zechariah 1:1</v>
      </c>
    </row>
    <row r="393" spans="1:6" x14ac:dyDescent="0.3">
      <c r="A393" s="3" t="s">
        <v>217</v>
      </c>
      <c r="B393" s="1">
        <v>393</v>
      </c>
      <c r="C393" s="18"/>
      <c r="F393" s="11" t="str">
        <f>HYPERLINK("http://www.biblegateway.com/passage/?search=Zechariah%208:2-23&amp;version=NIV",A393)</f>
        <v>Zechariah 8:2-23</v>
      </c>
    </row>
    <row r="394" spans="1:6" x14ac:dyDescent="0.3">
      <c r="A394" s="4" t="s">
        <v>487</v>
      </c>
      <c r="B394" s="1">
        <v>394</v>
      </c>
      <c r="C394" s="18"/>
      <c r="E394" s="13" t="s">
        <v>633</v>
      </c>
      <c r="F394" s="12" t="str">
        <f>TRIM(MID(A394,FIND(":",A394)+2,500))</f>
        <v>Short transition back into the story of the rebuilding of the temple</v>
      </c>
    </row>
    <row r="395" spans="1:6" x14ac:dyDescent="0.3">
      <c r="A395" s="3" t="s">
        <v>218</v>
      </c>
      <c r="B395" s="1">
        <v>395</v>
      </c>
      <c r="C395" s="18"/>
      <c r="F395" s="11" t="str">
        <f>HYPERLINK("http://www.biblegateway.com/passage/?search=Ezra%205:3-17%20%20&amp;version=NIV",A395)</f>
        <v xml:space="preserve">Ezra 5:3-17  </v>
      </c>
    </row>
    <row r="396" spans="1:6" x14ac:dyDescent="0.3">
      <c r="A396" s="3" t="s">
        <v>219</v>
      </c>
      <c r="B396" s="1">
        <v>396</v>
      </c>
      <c r="C396" s="18"/>
      <c r="F396" s="11" t="str">
        <f>HYPERLINK("http://www.biblegateway.com/passage/?search=Ezra%206:1-15&amp;version=NIV",A396)</f>
        <v>Ezra 6:1-15</v>
      </c>
    </row>
    <row r="397" spans="1:6" x14ac:dyDescent="0.3">
      <c r="A397" s="4" t="s">
        <v>440</v>
      </c>
      <c r="B397" s="1">
        <v>397</v>
      </c>
      <c r="C397" s="18"/>
      <c r="E397" s="13" t="s">
        <v>633</v>
      </c>
      <c r="F397" s="12" t="str">
        <f>TRIM(MID(A397,FIND(":",A397)+2,500))</f>
        <v>Short transition</v>
      </c>
    </row>
    <row r="398" spans="1:6" x14ac:dyDescent="0.3">
      <c r="A398" s="3" t="s">
        <v>220</v>
      </c>
      <c r="B398" s="1">
        <v>398</v>
      </c>
      <c r="C398" s="18"/>
      <c r="F398" s="11" t="str">
        <f>HYPERLINK("http://www.biblegateway.com/passage/?search=Ezra%206:16-18&amp;version=NIV",A398)</f>
        <v>Ezra 6:16-18</v>
      </c>
    </row>
    <row r="399" spans="1:6" x14ac:dyDescent="0.3">
      <c r="A399" s="4" t="s">
        <v>488</v>
      </c>
      <c r="B399" s="1">
        <v>399</v>
      </c>
      <c r="C399" s="18"/>
      <c r="E399" s="13" t="s">
        <v>633</v>
      </c>
      <c r="F399" s="12" t="str">
        <f>TRIM(MID(A399,FIND(":",A399)+2,500))</f>
        <v>Short transition into the story of Esther</v>
      </c>
    </row>
    <row r="400" spans="1:6" x14ac:dyDescent="0.3">
      <c r="B400" s="1">
        <v>400</v>
      </c>
    </row>
    <row r="401" spans="1:6" x14ac:dyDescent="0.3">
      <c r="B401" s="1">
        <v>401</v>
      </c>
      <c r="C401" s="16" t="s">
        <v>594</v>
      </c>
    </row>
    <row r="402" spans="1:6" ht="18" x14ac:dyDescent="0.25">
      <c r="B402" s="1">
        <v>402</v>
      </c>
      <c r="D402" s="20" t="s">
        <v>595</v>
      </c>
    </row>
    <row r="403" spans="1:6" x14ac:dyDescent="0.3">
      <c r="A403" s="3" t="s">
        <v>557</v>
      </c>
      <c r="B403" s="1">
        <v>403</v>
      </c>
      <c r="C403" s="18"/>
      <c r="F403" s="11" t="str">
        <f>HYPERLINK("http://www.biblegateway.com/passage/?search=Esther%201:1-2:4&amp;version=NIV",A403)</f>
        <v>Esther 1:1-2:4</v>
      </c>
    </row>
    <row r="404" spans="1:6" x14ac:dyDescent="0.3">
      <c r="A404" s="4" t="s">
        <v>489</v>
      </c>
      <c r="B404" s="1">
        <v>404</v>
      </c>
      <c r="C404" s="18"/>
      <c r="E404" s="13" t="s">
        <v>633</v>
      </c>
      <c r="F404" s="14"/>
    </row>
    <row r="405" spans="1:6" x14ac:dyDescent="0.3">
      <c r="A405" s="3" t="s">
        <v>221</v>
      </c>
      <c r="B405" s="1">
        <v>405</v>
      </c>
      <c r="C405" s="18"/>
      <c r="F405" s="11" t="str">
        <f>HYPERLINK("http://www.biblegateway.com/passage/?search=esther%202:5-23&amp;version=NIV",A405)</f>
        <v>2:5-23</v>
      </c>
    </row>
    <row r="406" spans="1:6" x14ac:dyDescent="0.3">
      <c r="A406" s="4" t="s">
        <v>489</v>
      </c>
      <c r="B406" s="1">
        <v>406</v>
      </c>
      <c r="C406" s="18"/>
      <c r="E406" s="13" t="s">
        <v>633</v>
      </c>
      <c r="F406" s="14"/>
    </row>
    <row r="407" spans="1:6" x14ac:dyDescent="0.3">
      <c r="A407" s="3" t="s">
        <v>558</v>
      </c>
      <c r="B407" s="1">
        <v>407</v>
      </c>
      <c r="C407" s="18"/>
      <c r="F407" s="11" t="str">
        <f>HYPERLINK("http://www.biblegateway.com/passage/?search=esther%203:1-4:17&amp;version=NIV",A407)</f>
        <v>3:1-4:17</v>
      </c>
    </row>
    <row r="408" spans="1:6" x14ac:dyDescent="0.3">
      <c r="A408" s="4" t="s">
        <v>489</v>
      </c>
      <c r="B408" s="1">
        <v>408</v>
      </c>
      <c r="C408" s="18"/>
      <c r="E408" s="13" t="s">
        <v>633</v>
      </c>
      <c r="F408" s="14"/>
    </row>
    <row r="409" spans="1:6" x14ac:dyDescent="0.3">
      <c r="A409" s="3" t="s">
        <v>559</v>
      </c>
      <c r="B409" s="1">
        <v>409</v>
      </c>
      <c r="C409" s="18"/>
      <c r="F409" s="11" t="str">
        <f>HYPERLINK("http://www.biblegateway.com/passage/?search=esther%205:1-8:2&amp;version=NIV",A409)</f>
        <v>5:1-8:2</v>
      </c>
    </row>
    <row r="410" spans="1:6" x14ac:dyDescent="0.3">
      <c r="A410" s="4" t="s">
        <v>489</v>
      </c>
      <c r="B410" s="1">
        <v>410</v>
      </c>
      <c r="C410" s="18"/>
      <c r="E410" s="13" t="s">
        <v>633</v>
      </c>
      <c r="F410" s="14"/>
    </row>
    <row r="411" spans="1:6" x14ac:dyDescent="0.3">
      <c r="A411" s="3" t="s">
        <v>560</v>
      </c>
      <c r="B411" s="1">
        <v>411</v>
      </c>
      <c r="C411" s="18"/>
      <c r="F411" s="11" t="str">
        <f>HYPERLINK("http://www.biblegateway.com/passage/?search=esther%208:3-9:17&amp;version=NIV",A411)</f>
        <v>8:3-9:17</v>
      </c>
    </row>
    <row r="412" spans="1:6" x14ac:dyDescent="0.3">
      <c r="A412" s="4" t="s">
        <v>489</v>
      </c>
      <c r="B412" s="1">
        <v>412</v>
      </c>
      <c r="C412" s="18"/>
      <c r="E412" s="13" t="s">
        <v>633</v>
      </c>
      <c r="F412" s="14"/>
    </row>
    <row r="413" spans="1:6" x14ac:dyDescent="0.3">
      <c r="A413" s="3" t="s">
        <v>222</v>
      </c>
      <c r="B413" s="1">
        <v>413</v>
      </c>
      <c r="C413" s="18"/>
      <c r="F413" s="11" t="str">
        <f>HYPERLINK("http://www.biblegateway.com/passage/?search=esther%209:20-28&amp;version=NIV",A413)</f>
        <v>9:20-28</v>
      </c>
    </row>
    <row r="414" spans="1:6" x14ac:dyDescent="0.3">
      <c r="B414" s="1">
        <v>414</v>
      </c>
    </row>
    <row r="415" spans="1:6" x14ac:dyDescent="0.3">
      <c r="B415" s="1">
        <v>415</v>
      </c>
      <c r="C415" s="16" t="s">
        <v>596</v>
      </c>
    </row>
    <row r="416" spans="1:6" ht="18" x14ac:dyDescent="0.25">
      <c r="B416" s="1">
        <v>416</v>
      </c>
      <c r="D416" s="20" t="s">
        <v>597</v>
      </c>
    </row>
    <row r="417" spans="1:6" x14ac:dyDescent="0.3">
      <c r="A417" s="4" t="s">
        <v>490</v>
      </c>
      <c r="B417" s="1">
        <v>417</v>
      </c>
      <c r="C417" s="18"/>
      <c r="E417" s="13" t="s">
        <v>633</v>
      </c>
      <c r="F417" s="12" t="str">
        <f>TRIM(MID(A417,FIND(":",A417)+2,500))</f>
        <v>Long transition into the story of Ezra leading the exiles home.</v>
      </c>
    </row>
    <row r="418" spans="1:6" x14ac:dyDescent="0.3">
      <c r="A418" s="3" t="s">
        <v>223</v>
      </c>
      <c r="B418" s="1">
        <v>418</v>
      </c>
      <c r="C418" s="18"/>
      <c r="F418" s="11" t="str">
        <f>HYPERLINK("http://www.biblegateway.com/passage/?search=Ezra%207:1-28&amp;version=NIV",A418)</f>
        <v>Ezra 7:1-28</v>
      </c>
    </row>
    <row r="419" spans="1:6" ht="63" x14ac:dyDescent="0.3">
      <c r="A419" s="4" t="s">
        <v>491</v>
      </c>
      <c r="B419" s="1">
        <v>419</v>
      </c>
      <c r="C419" s="18"/>
      <c r="E419" s="13" t="s">
        <v>633</v>
      </c>
      <c r="F419" s="12" t="str">
        <f>TRIM(MID(A419,FIND(":",A419)+2,500))</f>
        <v>Long transition explaining Ezra leading the people home, their fall into the sin of intermarriage, their repentance, the broken wall of Jerusalem, introduce Nehemiah and transition into the story of Nehemiah. (explain that he is cupbearer to the king)</v>
      </c>
    </row>
    <row r="420" spans="1:6" x14ac:dyDescent="0.3">
      <c r="A420" s="3" t="s">
        <v>224</v>
      </c>
      <c r="B420" s="1">
        <v>420</v>
      </c>
      <c r="C420" s="18"/>
      <c r="F420" s="11" t="str">
        <f>HYPERLINK("http://www.biblegateway.com/passage/?search=Nehemiah%201:1-6,11a&amp;version=NIV",A420)</f>
        <v>Nehemiah 1:1-6,11a</v>
      </c>
    </row>
    <row r="421" spans="1:6" ht="31.5" x14ac:dyDescent="0.3">
      <c r="A421" s="4" t="s">
        <v>492</v>
      </c>
      <c r="B421" s="1">
        <v>421</v>
      </c>
      <c r="C421" s="18"/>
      <c r="E421" s="13" t="s">
        <v>633</v>
      </c>
      <c r="F421" s="12" t="s">
        <v>653</v>
      </c>
    </row>
    <row r="422" spans="1:6" x14ac:dyDescent="0.3">
      <c r="A422" s="3" t="s">
        <v>225</v>
      </c>
      <c r="B422" s="1">
        <v>422</v>
      </c>
      <c r="C422" s="18"/>
      <c r="F422" s="11" t="str">
        <f>HYPERLINK("http://www.biblegateway.com/passage/?search=Nehemiah%202:11-18&amp;version=NIV",A422)</f>
        <v>Nehemiah 2:11-18</v>
      </c>
    </row>
    <row r="423" spans="1:6" x14ac:dyDescent="0.3">
      <c r="A423" s="4" t="s">
        <v>493</v>
      </c>
      <c r="B423" s="1">
        <v>423</v>
      </c>
      <c r="C423" s="18"/>
      <c r="E423" s="13" t="s">
        <v>633</v>
      </c>
      <c r="F423" s="12" t="str">
        <f>TRIM(MID(A423,FIND(":",A423)+2,500))</f>
        <v>Short transition explaining that they began building the wall</v>
      </c>
    </row>
    <row r="424" spans="1:6" x14ac:dyDescent="0.3">
      <c r="A424" s="3" t="s">
        <v>226</v>
      </c>
      <c r="B424" s="1">
        <v>424</v>
      </c>
      <c r="C424" s="18"/>
      <c r="F424" s="11" t="str">
        <f>HYPERLINK("http://www.biblegateway.com/passage/?search=Nehemiah%204:1-23&amp;version=NIV",A424)</f>
        <v>Nehemiah 4:1-23</v>
      </c>
    </row>
    <row r="425" spans="1:6" x14ac:dyDescent="0.3">
      <c r="A425" s="4" t="s">
        <v>494</v>
      </c>
      <c r="B425" s="1">
        <v>425</v>
      </c>
      <c r="C425" s="18"/>
      <c r="E425" s="13" t="s">
        <v>633</v>
      </c>
      <c r="F425" s="12" t="str">
        <f>TRIM(MID(A425,FIND(":",A425)+2,500))</f>
        <v>Short transition about Nehemiah.</v>
      </c>
    </row>
    <row r="426" spans="1:6" x14ac:dyDescent="0.3">
      <c r="A426" s="3" t="s">
        <v>227</v>
      </c>
      <c r="B426" s="1">
        <v>426</v>
      </c>
      <c r="C426" s="18"/>
      <c r="F426" s="11" t="str">
        <f>HYPERLINK("http://www.biblegateway.com/passage/?search=Nehemiah%206:1-10,15-16&amp;version=NIV",A426)</f>
        <v>Nehemiah 6:1-10,15-16</v>
      </c>
    </row>
    <row r="427" spans="1:6" x14ac:dyDescent="0.3">
      <c r="A427" s="4" t="s">
        <v>495</v>
      </c>
      <c r="B427" s="1">
        <v>427</v>
      </c>
      <c r="C427" s="18"/>
      <c r="E427" s="13" t="s">
        <v>633</v>
      </c>
      <c r="F427" s="12" t="str">
        <f>TRIM(MID(A427,FIND(":",A427)+2,500))</f>
        <v>Short transition about the system of worship</v>
      </c>
    </row>
    <row r="428" spans="1:6" x14ac:dyDescent="0.3">
      <c r="A428" s="3" t="s">
        <v>228</v>
      </c>
      <c r="B428" s="1">
        <v>428</v>
      </c>
      <c r="C428" s="18"/>
      <c r="F428" s="11" t="str">
        <f>HYPERLINK("http://www.biblegateway.com/passage/?search=Nehemiah%207:1-2&amp;version=NIV",A428)</f>
        <v>Nehemiah 7:1-2</v>
      </c>
    </row>
    <row r="429" spans="1:6" x14ac:dyDescent="0.3">
      <c r="A429" s="3" t="s">
        <v>229</v>
      </c>
      <c r="B429" s="1">
        <v>429</v>
      </c>
      <c r="C429" s="18"/>
      <c r="F429" s="11" t="str">
        <f>HYPERLINK("http://www.biblegateway.com/passage/?search=Nehemiah%208:1-3,5-18&amp;version=NIV",A429)</f>
        <v>Nehemiah 8:1-3,5-18</v>
      </c>
    </row>
    <row r="430" spans="1:6" ht="47.25" x14ac:dyDescent="0.3">
      <c r="A430" s="4" t="s">
        <v>496</v>
      </c>
      <c r="B430" s="1">
        <v>430</v>
      </c>
      <c r="C430" s="18"/>
      <c r="E430" s="13" t="s">
        <v>633</v>
      </c>
      <c r="F430" s="12" t="str">
        <f>TRIM(MID(A430,FIND(":",A430)+2,500))</f>
        <v>Short transition, tell that times of prosperity had come, but the people turned once again to sin (evil priests and intermarriage), transition into the message of Malachi.</v>
      </c>
    </row>
    <row r="431" spans="1:6" x14ac:dyDescent="0.3">
      <c r="A431" s="3" t="s">
        <v>230</v>
      </c>
      <c r="B431" s="1">
        <v>431</v>
      </c>
      <c r="C431" s="18"/>
      <c r="F431" s="11" t="str">
        <f>HYPERLINK("http://www.biblegateway.com/passage/?search=Malachi%201:1,6-11&amp;version=NIV",A431)</f>
        <v>Malachi 1:1,6-11</v>
      </c>
    </row>
    <row r="432" spans="1:6" x14ac:dyDescent="0.3">
      <c r="A432" s="3" t="s">
        <v>231</v>
      </c>
      <c r="B432" s="1">
        <v>432</v>
      </c>
      <c r="C432" s="18"/>
      <c r="F432" s="11" t="str">
        <f>HYPERLINK("http://www.biblegateway.com/passage/?search=Malachi%202:13-16&amp;version=NIV",A432)</f>
        <v>Malachi 2:13-16</v>
      </c>
    </row>
    <row r="433" spans="1:6" x14ac:dyDescent="0.3">
      <c r="A433" s="3" t="s">
        <v>232</v>
      </c>
      <c r="B433" s="1">
        <v>433</v>
      </c>
      <c r="C433" s="18"/>
      <c r="F433" s="11" t="str">
        <f>HYPERLINK("http://www.biblegateway.com/passage/?search=Malachi%203:6-18,&amp;version=NIV",A433)</f>
        <v>Malachi 3:6-18,</v>
      </c>
    </row>
    <row r="434" spans="1:6" x14ac:dyDescent="0.3">
      <c r="A434" s="3" t="s">
        <v>233</v>
      </c>
      <c r="B434" s="1">
        <v>434</v>
      </c>
      <c r="C434" s="18"/>
      <c r="F434" s="11" t="str">
        <f>HYPERLINK("http://www.biblegateway.com/passage/?search=Malachi%204:1-6&amp;version=NIV",A434)</f>
        <v>Malachi 4:1-6</v>
      </c>
    </row>
    <row r="435" spans="1:6" x14ac:dyDescent="0.3">
      <c r="A435" s="4" t="s">
        <v>497</v>
      </c>
      <c r="B435" s="1">
        <v>435</v>
      </c>
      <c r="C435" s="18"/>
      <c r="E435" s="13" t="s">
        <v>633</v>
      </c>
      <c r="F435" s="12" t="str">
        <f>TRIM(MID(A435,FIND(":",A435)+2,500))</f>
        <v>Intertestamental</v>
      </c>
    </row>
    <row r="436" spans="1:6" x14ac:dyDescent="0.3">
      <c r="B436" s="1">
        <v>436</v>
      </c>
    </row>
    <row r="437" spans="1:6" x14ac:dyDescent="0.3">
      <c r="B437" s="1">
        <v>437</v>
      </c>
      <c r="C437" s="16" t="s">
        <v>598</v>
      </c>
    </row>
    <row r="438" spans="1:6" ht="18" x14ac:dyDescent="0.25">
      <c r="B438" s="1">
        <v>438</v>
      </c>
      <c r="D438" s="20" t="s">
        <v>599</v>
      </c>
    </row>
    <row r="439" spans="1:6" x14ac:dyDescent="0.3">
      <c r="A439" s="3" t="s">
        <v>234</v>
      </c>
      <c r="B439" s="1">
        <v>439</v>
      </c>
      <c r="C439" s="18"/>
      <c r="F439" s="11" t="str">
        <f>HYPERLINK("http://www.biblegateway.com/passage/?search=John%201:1-14,%2017-18&amp;version=NIV",A439)</f>
        <v>John 1:1-14, 17-18</v>
      </c>
    </row>
    <row r="440" spans="1:6" x14ac:dyDescent="0.3">
      <c r="A440" s="3" t="s">
        <v>235</v>
      </c>
      <c r="B440" s="1">
        <v>440</v>
      </c>
      <c r="C440" s="18"/>
      <c r="F440" s="11" t="str">
        <f>HYPERLINK("http://www.biblegateway.com/passage/?search=Luke%201:26b-35,38,%2046-55&amp;version=NIV",A440)</f>
        <v>Luke 1:26b-35,38, 46-55</v>
      </c>
    </row>
    <row r="441" spans="1:6" ht="31.5" x14ac:dyDescent="0.3">
      <c r="A441" s="4" t="s">
        <v>498</v>
      </c>
      <c r="B441" s="1">
        <v>441</v>
      </c>
      <c r="C441" s="18"/>
      <c r="E441" s="13" t="s">
        <v>633</v>
      </c>
      <c r="F441" s="12" t="str">
        <f>TRIM(MID(A441,FIND(":",A441)+2,500))</f>
        <v>Transition explaining that Joseph and his fiancée were virgins and yet she became pregnant…transition into…</v>
      </c>
    </row>
    <row r="442" spans="1:6" x14ac:dyDescent="0.3">
      <c r="A442" s="3" t="s">
        <v>236</v>
      </c>
      <c r="B442" s="1">
        <v>442</v>
      </c>
      <c r="C442" s="18"/>
      <c r="F442" s="11" t="str">
        <f>HYPERLINK("http://www.biblegateway.com/passage/?search=Matthew%201:19-24&amp;version=NIV",A442)</f>
        <v>Matthew 1:19-24</v>
      </c>
    </row>
    <row r="443" spans="1:6" x14ac:dyDescent="0.3">
      <c r="A443" s="3" t="s">
        <v>237</v>
      </c>
      <c r="B443" s="1">
        <v>443</v>
      </c>
      <c r="C443" s="18"/>
      <c r="F443" s="11" t="str">
        <f>HYPERLINK("http://www.biblegateway.com/passage/?search=Luke%202:1-20&amp;version=NIV",A443)</f>
        <v>Luke 2:1-20</v>
      </c>
    </row>
    <row r="444" spans="1:6" x14ac:dyDescent="0.3">
      <c r="A444" s="4" t="s">
        <v>499</v>
      </c>
      <c r="B444" s="1">
        <v>444</v>
      </c>
      <c r="C444" s="18"/>
      <c r="E444" s="13" t="s">
        <v>633</v>
      </c>
      <c r="F444" s="12" t="str">
        <f>TRIM(MID(A444,FIND(":",A444)+2,500))</f>
        <v>Jesus presented in the temple</v>
      </c>
    </row>
    <row r="445" spans="1:6" x14ac:dyDescent="0.3">
      <c r="A445" s="3" t="s">
        <v>238</v>
      </c>
      <c r="B445" s="1">
        <v>445</v>
      </c>
      <c r="C445" s="18"/>
      <c r="F445" s="11" t="str">
        <f>HYPERLINK("http://www.biblegateway.com/passage/?search=Matthew%202:1-23a&amp;version=NIV",A445)</f>
        <v>Matthew 2:1-23a</v>
      </c>
    </row>
    <row r="446" spans="1:6" x14ac:dyDescent="0.3">
      <c r="A446" s="3" t="s">
        <v>239</v>
      </c>
      <c r="B446" s="1">
        <v>446</v>
      </c>
      <c r="C446" s="18"/>
      <c r="E446" s="13" t="s">
        <v>633</v>
      </c>
      <c r="F446" s="12" t="str">
        <f>TRIM(MID(A446,FIND(":",A446)+2,500))</f>
        <v>Short transition to story of Jesus as a boy in the temple</v>
      </c>
    </row>
    <row r="447" spans="1:6" x14ac:dyDescent="0.3">
      <c r="A447" s="3" t="s">
        <v>240</v>
      </c>
      <c r="B447" s="1">
        <v>447</v>
      </c>
      <c r="C447" s="18"/>
      <c r="F447" s="11" t="str">
        <f>HYPERLINK("http://www.biblegateway.com/passage/?search=Luke%202:41-52&amp;version=NIV",A447)</f>
        <v>Luke 2:41-52</v>
      </c>
    </row>
    <row r="448" spans="1:6" x14ac:dyDescent="0.3">
      <c r="A448" s="4" t="s">
        <v>500</v>
      </c>
      <c r="B448" s="1">
        <v>448</v>
      </c>
      <c r="C448" s="18"/>
      <c r="E448" s="13" t="s">
        <v>633</v>
      </c>
      <c r="F448" s="12" t="str">
        <f>TRIM(MID(A448,FIND(":",A448)+2,500))</f>
        <v>Short transition into the intro to the ministry of Jesus</v>
      </c>
    </row>
    <row r="449" spans="1:6" x14ac:dyDescent="0.3">
      <c r="B449" s="1">
        <v>449</v>
      </c>
    </row>
    <row r="450" spans="1:6" x14ac:dyDescent="0.3">
      <c r="B450" s="1">
        <v>450</v>
      </c>
      <c r="C450" s="16" t="s">
        <v>600</v>
      </c>
    </row>
    <row r="451" spans="1:6" ht="18" x14ac:dyDescent="0.25">
      <c r="B451" s="1">
        <v>451</v>
      </c>
      <c r="D451" s="20" t="s">
        <v>601</v>
      </c>
    </row>
    <row r="452" spans="1:6" ht="31.5" x14ac:dyDescent="0.3">
      <c r="A452" s="4" t="s">
        <v>501</v>
      </c>
      <c r="B452" s="1">
        <v>452</v>
      </c>
      <c r="C452" s="18"/>
      <c r="E452" s="13" t="s">
        <v>633</v>
      </c>
      <c r="F452" s="12" t="str">
        <f>TRIM(MID(A452,FIND(":",A452)+2,500))</f>
        <v>Short Transition into the beginning of the ministry of Jesus. (Introduce John)</v>
      </c>
    </row>
    <row r="453" spans="1:6" x14ac:dyDescent="0.3">
      <c r="A453" s="3" t="s">
        <v>241</v>
      </c>
      <c r="B453" s="1">
        <v>453</v>
      </c>
      <c r="C453" s="18"/>
      <c r="F453" s="11" t="str">
        <f>HYPERLINK("http://www.biblegateway.com/passage/?search=Matthew%203:1-2,4-6&amp;version=NIV",A453)</f>
        <v>Matthew 3:1-2,4-6</v>
      </c>
    </row>
    <row r="454" spans="1:6" x14ac:dyDescent="0.3">
      <c r="A454" s="3" t="s">
        <v>242</v>
      </c>
      <c r="B454" s="1">
        <v>454</v>
      </c>
      <c r="C454" s="18"/>
      <c r="F454" s="11" t="str">
        <f>HYPERLINK("http://www.biblegateway.com/passage/?search=Matthew%203:13-17&amp;version=NIV",A454)</f>
        <v>Matthew 3:13-17</v>
      </c>
    </row>
    <row r="455" spans="1:6" x14ac:dyDescent="0.3">
      <c r="A455" s="3" t="s">
        <v>243</v>
      </c>
      <c r="B455" s="1">
        <v>455</v>
      </c>
      <c r="C455" s="18"/>
      <c r="F455" s="11" t="str">
        <f>HYPERLINK("http://www.biblegateway.com/passage/?search=Matthew%204:1-11&amp;version=NIV",A455)</f>
        <v>Matthew 4:1-11</v>
      </c>
    </row>
    <row r="456" spans="1:6" x14ac:dyDescent="0.3">
      <c r="A456" s="4" t="s">
        <v>502</v>
      </c>
      <c r="B456" s="1">
        <v>456</v>
      </c>
      <c r="C456" s="18"/>
      <c r="E456" s="13" t="s">
        <v>633</v>
      </c>
      <c r="F456" s="12" t="str">
        <f>TRIM(MID(A456,FIND(":",A456)+2,500))</f>
        <v>Short transition</v>
      </c>
    </row>
    <row r="457" spans="1:6" x14ac:dyDescent="0.3">
      <c r="A457" s="3" t="s">
        <v>244</v>
      </c>
      <c r="B457" s="1">
        <v>457</v>
      </c>
      <c r="C457" s="18"/>
      <c r="F457" s="11" t="str">
        <f>HYPERLINK("http://www.biblegateway.com/passage/?search=John%201:19-51&amp;version=NIV",A457)</f>
        <v>John 1:19-51</v>
      </c>
    </row>
    <row r="458" spans="1:6" x14ac:dyDescent="0.3">
      <c r="A458" s="3" t="s">
        <v>245</v>
      </c>
      <c r="B458" s="1">
        <v>458</v>
      </c>
      <c r="C458" s="18"/>
      <c r="F458" s="11" t="str">
        <f>HYPERLINK("http://www.biblegateway.com/passage/?search=John%202:1-11&amp;version=NIV",A458)</f>
        <v>John 2:1-11</v>
      </c>
    </row>
    <row r="459" spans="1:6" ht="47.25" x14ac:dyDescent="0.3">
      <c r="A459" s="4" t="s">
        <v>503</v>
      </c>
      <c r="B459" s="1">
        <v>459</v>
      </c>
      <c r="C459" s="18"/>
      <c r="E459" s="13" t="s">
        <v>633</v>
      </c>
      <c r="F459" s="12" t="str">
        <f>TRIM(MID(A459,FIND(":",A459)+2,500))</f>
        <v>Short transition explaining that Jesus went up to Jerusalem for Passover and that the Pharisees heard that Jesus was gaining many disciples</v>
      </c>
    </row>
    <row r="460" spans="1:6" x14ac:dyDescent="0.3">
      <c r="A460" s="3" t="s">
        <v>246</v>
      </c>
      <c r="B460" s="1">
        <v>460</v>
      </c>
      <c r="C460" s="18"/>
      <c r="F460" s="11" t="str">
        <f>HYPERLINK("http://www.biblegateway.com/passage/?search=John%203:1-18&amp;version=NIV",A460)</f>
        <v>John 3:1-18</v>
      </c>
    </row>
    <row r="461" spans="1:6" ht="47.25" x14ac:dyDescent="0.3">
      <c r="A461" s="4" t="s">
        <v>504</v>
      </c>
      <c r="B461" s="1">
        <v>461</v>
      </c>
      <c r="C461" s="18"/>
      <c r="E461" s="13" t="s">
        <v>633</v>
      </c>
      <c r="F461" s="12" t="str">
        <f>TRIM(MID(A461,FIND(":",A461)+2,500))</f>
        <v>Short transition explaining that Jesus was about to head back to Galilee through Samaria, explain how Samaritans and Jews hated each other (and men don’t talk to women)</v>
      </c>
    </row>
    <row r="462" spans="1:6" x14ac:dyDescent="0.3">
      <c r="A462" s="3" t="s">
        <v>247</v>
      </c>
      <c r="B462" s="1">
        <v>462</v>
      </c>
      <c r="C462" s="18"/>
      <c r="F462" s="11" t="str">
        <f>HYPERLINK("http://www.biblegateway.com/passage/?search=John%204:4-30,%2039-43&amp;version=NIV",A462)</f>
        <v>John 4:4-30, 39-43</v>
      </c>
    </row>
    <row r="463" spans="1:6" x14ac:dyDescent="0.3">
      <c r="A463" s="3" t="s">
        <v>248</v>
      </c>
      <c r="B463" s="1">
        <v>463</v>
      </c>
      <c r="C463" s="18"/>
      <c r="F463" s="11" t="str">
        <f>HYPERLINK("http://www.biblegateway.com/passage/?search=Mark%201:21-45&amp;version=NIV",A463)</f>
        <v>Mark 1:21-45</v>
      </c>
    </row>
    <row r="464" spans="1:6" x14ac:dyDescent="0.3">
      <c r="A464" s="3" t="s">
        <v>249</v>
      </c>
      <c r="B464" s="1">
        <v>464</v>
      </c>
      <c r="C464" s="18"/>
      <c r="F464" s="11" t="str">
        <f>HYPERLINK("http://www.biblegateway.com/passage/?search=Mark%202:1-17&amp;version=NIV",A464)</f>
        <v>Mark 2:1-17</v>
      </c>
    </row>
    <row r="465" spans="1:6" x14ac:dyDescent="0.3">
      <c r="A465" s="4" t="s">
        <v>505</v>
      </c>
      <c r="B465" s="1">
        <v>465</v>
      </c>
      <c r="C465" s="18"/>
      <c r="E465" s="13" t="s">
        <v>633</v>
      </c>
      <c r="F465" s="12" t="str">
        <f>TRIM(MID(A465,FIND(":",A465)+2,500))</f>
        <v>Short transition, a new kind of rabbi</v>
      </c>
    </row>
    <row r="466" spans="1:6" x14ac:dyDescent="0.3">
      <c r="A466" s="3" t="s">
        <v>250</v>
      </c>
      <c r="B466" s="1">
        <v>466</v>
      </c>
      <c r="C466" s="18"/>
      <c r="F466" s="11" t="str">
        <f>HYPERLINK("http://www.biblegateway.com/passage/?search=Mark%203:1-6%20%20&amp;version=NIV",A466)</f>
        <v xml:space="preserve">Mark 3:1-6  </v>
      </c>
    </row>
    <row r="467" spans="1:6" x14ac:dyDescent="0.3">
      <c r="A467" s="3" t="s">
        <v>251</v>
      </c>
      <c r="B467" s="1">
        <v>467</v>
      </c>
      <c r="C467" s="18"/>
      <c r="F467" s="11" t="str">
        <f>HYPERLINK("http://www.biblegateway.com/passage/?search=Matthew%204:23-25&amp;version=NIV",A467)</f>
        <v>Matthew 4:23-25</v>
      </c>
    </row>
    <row r="468" spans="1:6" x14ac:dyDescent="0.3">
      <c r="A468" s="3" t="s">
        <v>252</v>
      </c>
      <c r="B468" s="1">
        <v>468</v>
      </c>
      <c r="C468" s="18"/>
      <c r="F468" s="11" t="str">
        <f>HYPERLINK("http://www.biblegateway.com/passage/?search=Mark%203:9-12&amp;version=NIV",A468)</f>
        <v>Mark 3:9-12</v>
      </c>
    </row>
    <row r="469" spans="1:6" x14ac:dyDescent="0.3">
      <c r="A469" s="4" t="s">
        <v>450</v>
      </c>
      <c r="B469" s="1">
        <v>469</v>
      </c>
      <c r="C469" s="18"/>
      <c r="E469" s="13" t="s">
        <v>633</v>
      </c>
      <c r="F469" s="12" t="str">
        <f>TRIM(MID(A469,FIND(":",A469)+2,500))</f>
        <v>Short transition</v>
      </c>
    </row>
    <row r="470" spans="1:6" x14ac:dyDescent="0.3">
      <c r="A470" s="3" t="s">
        <v>253</v>
      </c>
      <c r="B470" s="1">
        <v>470</v>
      </c>
      <c r="C470" s="18"/>
      <c r="F470" s="11" t="str">
        <f>HYPERLINK("http://www.biblegateway.com/passage/?search=Mark%203:13-19&amp;version=NIV",A470)</f>
        <v>Mark 3:13-19</v>
      </c>
    </row>
    <row r="471" spans="1:6" x14ac:dyDescent="0.3">
      <c r="A471" s="3" t="s">
        <v>254</v>
      </c>
      <c r="B471" s="1">
        <v>471</v>
      </c>
      <c r="C471" s="18"/>
      <c r="F471" s="11" t="str">
        <f>HYPERLINK("http://www.biblegateway.com/passage/?search=Luke%208:1-3&amp;version=NIV",A471)</f>
        <v>Luke 8:1-3</v>
      </c>
    </row>
    <row r="472" spans="1:6" x14ac:dyDescent="0.3">
      <c r="A472" s="4" t="s">
        <v>506</v>
      </c>
      <c r="B472" s="1">
        <v>472</v>
      </c>
      <c r="C472" s="18"/>
      <c r="E472" s="13" t="s">
        <v>633</v>
      </c>
      <c r="F472" s="12" t="str">
        <f>TRIM(MID(A472,FIND(":",A472)+2,500))</f>
        <v>John the Baptist</v>
      </c>
    </row>
    <row r="473" spans="1:6" x14ac:dyDescent="0.3">
      <c r="A473" s="3" t="s">
        <v>255</v>
      </c>
      <c r="B473" s="1">
        <v>473</v>
      </c>
      <c r="C473" s="18"/>
      <c r="F473" s="11" t="str">
        <f>HYPERLINK("http://www.biblegateway.com/passage/?search=Matthew%2011:2-14&amp;version=NIV",A473)</f>
        <v>Matthew 11:2-14</v>
      </c>
    </row>
    <row r="474" spans="1:6" x14ac:dyDescent="0.3">
      <c r="A474" s="4" t="s">
        <v>507</v>
      </c>
      <c r="B474" s="1">
        <v>474</v>
      </c>
      <c r="C474" s="18"/>
      <c r="E474" s="13" t="s">
        <v>633</v>
      </c>
      <c r="F474" s="12" t="str">
        <f>TRIM(MID(A474,FIND(":",A474)+2,500))</f>
        <v>Short transition introducing Jesus’ teachings</v>
      </c>
    </row>
    <row r="475" spans="1:6" x14ac:dyDescent="0.3">
      <c r="B475" s="1">
        <v>475</v>
      </c>
    </row>
    <row r="476" spans="1:6" x14ac:dyDescent="0.3">
      <c r="B476" s="1">
        <v>476</v>
      </c>
      <c r="C476" s="16" t="s">
        <v>602</v>
      </c>
    </row>
    <row r="477" spans="1:6" ht="18" x14ac:dyDescent="0.25">
      <c r="B477" s="1">
        <v>477</v>
      </c>
      <c r="D477" s="20" t="s">
        <v>603</v>
      </c>
    </row>
    <row r="478" spans="1:6" x14ac:dyDescent="0.3">
      <c r="A478" s="3" t="s">
        <v>256</v>
      </c>
      <c r="B478" s="1">
        <v>478</v>
      </c>
      <c r="C478" s="18"/>
      <c r="F478" s="11" t="str">
        <f>HYPERLINK("http://www.biblegateway.com/passage/?search=Mark%204:1-34&amp;version=NIV",A478)</f>
        <v>Mark 4:1-34</v>
      </c>
    </row>
    <row r="479" spans="1:6" x14ac:dyDescent="0.3">
      <c r="A479" s="4" t="s">
        <v>508</v>
      </c>
      <c r="B479" s="1">
        <v>479</v>
      </c>
      <c r="C479" s="18"/>
      <c r="E479" s="13" t="s">
        <v>633</v>
      </c>
      <c r="F479" s="12" t="str">
        <f>TRIM(MID(A479,FIND(":",A479)+2,500))</f>
        <v>parables</v>
      </c>
    </row>
    <row r="480" spans="1:6" x14ac:dyDescent="0.3">
      <c r="A480" s="3" t="s">
        <v>257</v>
      </c>
      <c r="B480" s="1">
        <v>480</v>
      </c>
      <c r="C480" s="18"/>
      <c r="F480" s="11" t="str">
        <f>HYPERLINK("http://www.biblegateway.com/passage/?search=Luke%2015:1-32&amp;version=NIV",A480)</f>
        <v>Luke 15:1-32</v>
      </c>
    </row>
    <row r="481" spans="1:6" x14ac:dyDescent="0.3">
      <c r="A481" s="4" t="s">
        <v>569</v>
      </c>
      <c r="B481" s="1">
        <v>481</v>
      </c>
      <c r="C481" s="18"/>
      <c r="E481" s="13" t="s">
        <v>633</v>
      </c>
      <c r="F481" s="12" t="str">
        <f>TRIM(MID(A481,FIND(":",A481)+2,500))</f>
        <v>Lead into the Good Samaritan</v>
      </c>
    </row>
    <row r="482" spans="1:6" x14ac:dyDescent="0.3">
      <c r="A482" s="3" t="s">
        <v>258</v>
      </c>
      <c r="B482" s="1">
        <v>482</v>
      </c>
      <c r="C482" s="18"/>
      <c r="F482" s="11" t="str">
        <f>HYPERLINK("http://www.biblegateway.com/passage/?search=Luke%2010:25-37&amp;version=NIV",A482)</f>
        <v>Luke 10:25-37</v>
      </c>
    </row>
    <row r="483" spans="1:6" x14ac:dyDescent="0.3">
      <c r="A483" s="4" t="s">
        <v>509</v>
      </c>
      <c r="B483" s="1">
        <v>483</v>
      </c>
      <c r="C483" s="18"/>
      <c r="E483" s="13" t="s">
        <v>633</v>
      </c>
      <c r="F483" s="12" t="str">
        <f>TRIM(MID(A483,FIND(":",A483)+2,500))</f>
        <v>the Sermon on the Mount</v>
      </c>
    </row>
    <row r="484" spans="1:6" x14ac:dyDescent="0.3">
      <c r="A484" s="3" t="s">
        <v>259</v>
      </c>
      <c r="B484" s="1">
        <v>484</v>
      </c>
      <c r="C484" s="18"/>
      <c r="F484" s="11" t="str">
        <f>HYPERLINK("http://www.biblegateway.com/passage/?search=Matthew%205:1-16&amp;version=NIV",A484)</f>
        <v>Matthew 5:1-16</v>
      </c>
    </row>
    <row r="485" spans="1:6" x14ac:dyDescent="0.3">
      <c r="A485" s="3" t="s">
        <v>260</v>
      </c>
      <c r="B485" s="1">
        <v>485</v>
      </c>
      <c r="C485" s="18"/>
      <c r="F485" s="11" t="str">
        <f>HYPERLINK("http://www.biblegateway.com/passage/?search=Matthew%206:5-15,19-34&amp;version=NIV",A485)</f>
        <v>Matthew 6:5-15,19-34</v>
      </c>
    </row>
    <row r="486" spans="1:6" x14ac:dyDescent="0.3">
      <c r="A486" s="3" t="s">
        <v>261</v>
      </c>
      <c r="B486" s="1">
        <v>486</v>
      </c>
      <c r="C486" s="18"/>
      <c r="F486" s="11" t="str">
        <f>HYPERLINK("http://www.biblegateway.com/passage/?search=Matthew%207:24-27&amp;version=NIV",A486)</f>
        <v>Matthew 7:24-27</v>
      </c>
    </row>
    <row r="487" spans="1:6" x14ac:dyDescent="0.3">
      <c r="A487" s="4" t="s">
        <v>510</v>
      </c>
      <c r="B487" s="1">
        <v>487</v>
      </c>
      <c r="C487" s="18"/>
      <c r="E487" s="13" t="s">
        <v>633</v>
      </c>
      <c r="F487" s="12" t="str">
        <f>TRIM(MID(A487,FIND(":",A487)+2,500))</f>
        <v>the storm</v>
      </c>
    </row>
    <row r="488" spans="1:6" x14ac:dyDescent="0.3">
      <c r="A488" s="3" t="s">
        <v>262</v>
      </c>
      <c r="B488" s="1">
        <v>488</v>
      </c>
      <c r="C488" s="18"/>
      <c r="F488" s="11" t="str">
        <f>HYPERLINK("http://www.biblegateway.com/passage/?search=Mark%204:35-41&amp;version=NIV",A488)</f>
        <v>Mark 4:35-41</v>
      </c>
    </row>
    <row r="489" spans="1:6" x14ac:dyDescent="0.3">
      <c r="A489" s="3" t="s">
        <v>263</v>
      </c>
      <c r="B489" s="1">
        <v>489</v>
      </c>
      <c r="C489" s="18"/>
      <c r="F489" s="11" t="str">
        <f>HYPERLINK("http://www.biblegateway.com/passage/?search=Mark%205:1-43&amp;version=NIV",A489)</f>
        <v>Mark 5:1-43</v>
      </c>
    </row>
    <row r="490" spans="1:6" x14ac:dyDescent="0.3">
      <c r="A490" s="3" t="s">
        <v>264</v>
      </c>
      <c r="B490" s="1">
        <v>490</v>
      </c>
      <c r="C490" s="18"/>
      <c r="F490" s="11" t="str">
        <f>HYPERLINK("http://www.biblegateway.com/passage/?search=Matthew%209:27-34&amp;version=NIV",A490)</f>
        <v>Matthew 9:27-34</v>
      </c>
    </row>
    <row r="491" spans="1:6" x14ac:dyDescent="0.3">
      <c r="A491" s="4" t="s">
        <v>511</v>
      </c>
      <c r="B491" s="1">
        <v>491</v>
      </c>
      <c r="C491" s="18"/>
      <c r="E491" s="13" t="s">
        <v>633</v>
      </c>
      <c r="F491" s="12" t="str">
        <f>TRIM(MID(A491,FIND(":",A491)+2,500))</f>
        <v>Herod</v>
      </c>
    </row>
    <row r="492" spans="1:6" x14ac:dyDescent="0.3">
      <c r="A492" s="3" t="s">
        <v>265</v>
      </c>
      <c r="B492" s="1">
        <v>492</v>
      </c>
      <c r="C492" s="18"/>
      <c r="F492" s="11" t="str">
        <f>HYPERLINK("http://www.biblegateway.com/passage/?search=Mark%206:14-44&amp;version=NIV",A492)</f>
        <v>Mark 6:14-44</v>
      </c>
    </row>
    <row r="493" spans="1:6" x14ac:dyDescent="0.3">
      <c r="A493" s="3" t="s">
        <v>266</v>
      </c>
      <c r="B493" s="1">
        <v>493</v>
      </c>
      <c r="C493" s="18"/>
      <c r="F493" s="11" t="str">
        <f>HYPERLINK("http://www.biblegateway.com/passage/?search=Matthew%2014:22-36&amp;version=NIV",A493)</f>
        <v>Matthew 14:22-36</v>
      </c>
    </row>
    <row r="494" spans="1:6" x14ac:dyDescent="0.3">
      <c r="A494" s="3" t="s">
        <v>267</v>
      </c>
      <c r="B494" s="1">
        <v>494</v>
      </c>
      <c r="C494" s="18"/>
      <c r="F494" s="11" t="str">
        <f>HYPERLINK("http://www.biblegateway.com/passage/?search=John%206:22-35,%2047-58,%2066-71&amp;version=NIV",A494)</f>
        <v>John 6:22-35, 47-58, 66-71</v>
      </c>
    </row>
    <row r="495" spans="1:6" x14ac:dyDescent="0.3">
      <c r="A495" s="4" t="s">
        <v>512</v>
      </c>
      <c r="B495" s="1">
        <v>495</v>
      </c>
      <c r="C495" s="18"/>
      <c r="E495" s="13" t="s">
        <v>633</v>
      </c>
      <c r="F495" s="12" t="str">
        <f>TRIM(MID(A495,FIND(":",A495)+2,500))</f>
        <v>Jesus begins to reveal who he is</v>
      </c>
    </row>
    <row r="496" spans="1:6" x14ac:dyDescent="0.3">
      <c r="B496" s="1">
        <v>496</v>
      </c>
    </row>
    <row r="497" spans="1:6" x14ac:dyDescent="0.3">
      <c r="B497" s="1">
        <v>497</v>
      </c>
      <c r="C497" s="16" t="s">
        <v>604</v>
      </c>
    </row>
    <row r="498" spans="1:6" ht="18" x14ac:dyDescent="0.25">
      <c r="B498" s="1">
        <v>498</v>
      </c>
      <c r="D498" s="20" t="s">
        <v>605</v>
      </c>
    </row>
    <row r="499" spans="1:6" x14ac:dyDescent="0.3">
      <c r="A499" s="3" t="s">
        <v>268</v>
      </c>
      <c r="B499" s="1">
        <v>499</v>
      </c>
      <c r="C499" s="18"/>
      <c r="F499" s="11" t="str">
        <f>HYPERLINK("http://www.biblegateway.com/passage/?search=Mark%208:27-38&amp;version=NIV",A499)</f>
        <v>Mark 8:27-38</v>
      </c>
    </row>
    <row r="500" spans="1:6" x14ac:dyDescent="0.3">
      <c r="A500" s="3" t="s">
        <v>269</v>
      </c>
      <c r="B500" s="1">
        <v>500</v>
      </c>
      <c r="C500" s="18"/>
      <c r="F500" s="11" t="str">
        <f>HYPERLINK("http://www.biblegateway.com/passage/?search=Matthew%2017:1-2&amp;version=NIV",A500)</f>
        <v>Matthew 17:1-2</v>
      </c>
    </row>
    <row r="501" spans="1:6" x14ac:dyDescent="0.3">
      <c r="A501" s="3" t="s">
        <v>270</v>
      </c>
      <c r="B501" s="1">
        <v>501</v>
      </c>
      <c r="C501" s="18"/>
      <c r="F501" s="11" t="str">
        <f>HYPERLINK("http://www.biblegateway.com/passage/?search=Luke%209:30-31&amp;version=NIV",A501)</f>
        <v>Luke 9:30-31</v>
      </c>
    </row>
    <row r="502" spans="1:6" x14ac:dyDescent="0.3">
      <c r="A502" s="3" t="s">
        <v>271</v>
      </c>
      <c r="B502" s="1">
        <v>502</v>
      </c>
      <c r="C502" s="18"/>
      <c r="F502" s="11" t="str">
        <f>HYPERLINK("http://www.biblegateway.com/passage/?search=Mark%209:5-6&amp;version=NIV",A502)</f>
        <v>Mark 9:5-6</v>
      </c>
    </row>
    <row r="503" spans="1:6" x14ac:dyDescent="0.3">
      <c r="A503" s="3" t="s">
        <v>272</v>
      </c>
      <c r="B503" s="1">
        <v>503</v>
      </c>
      <c r="C503" s="18"/>
      <c r="F503" s="11" t="str">
        <f>HYPERLINK("http://www.biblegateway.com/passage/?search=Matthew%2017:5-8&amp;version=NIV",A503)</f>
        <v>Matthew 17:5-8</v>
      </c>
    </row>
    <row r="504" spans="1:6" x14ac:dyDescent="0.3">
      <c r="A504" s="3" t="s">
        <v>273</v>
      </c>
      <c r="B504" s="1">
        <v>504</v>
      </c>
      <c r="C504" s="18"/>
      <c r="F504" s="11" t="str">
        <f>HYPERLINK("http://www.biblegateway.com/passage/?search=Mark%209:9-10,14-15,30-32&amp;version=NIV",A504)</f>
        <v>Mark 9:9-10,14-15,30-32</v>
      </c>
    </row>
    <row r="505" spans="1:6" ht="31.5" x14ac:dyDescent="0.3">
      <c r="A505" s="4" t="s">
        <v>513</v>
      </c>
      <c r="B505" s="1">
        <v>505</v>
      </c>
      <c r="C505" s="18"/>
      <c r="E505" s="13" t="s">
        <v>633</v>
      </c>
      <c r="F505" s="12" t="s">
        <v>654</v>
      </c>
    </row>
    <row r="506" spans="1:6" x14ac:dyDescent="0.3">
      <c r="A506" s="3" t="s">
        <v>274</v>
      </c>
      <c r="B506" s="1">
        <v>506</v>
      </c>
      <c r="C506" s="18"/>
      <c r="F506" s="11" t="str">
        <f>HYPERLINK("http://www.biblegateway.com/passage/?search=John%207:11-15,%2025-31,%2037-44&amp;version=NIV",A506)</f>
        <v>John 7:11-15, 25-31, 37-44</v>
      </c>
    </row>
    <row r="507" spans="1:6" ht="31.5" x14ac:dyDescent="0.3">
      <c r="A507" s="4" t="s">
        <v>514</v>
      </c>
      <c r="B507" s="1">
        <v>507</v>
      </c>
      <c r="C507" s="18"/>
      <c r="E507" s="13" t="s">
        <v>633</v>
      </c>
      <c r="F507" s="12" t="str">
        <f>TRIM(MID(A507,FIND(":",A507)+2,500))</f>
        <v>Short transition explaining that Jesus went to the Mount of Olives and continued to teach the people.</v>
      </c>
    </row>
    <row r="508" spans="1:6" x14ac:dyDescent="0.3">
      <c r="A508" s="3" t="s">
        <v>275</v>
      </c>
      <c r="B508" s="1">
        <v>508</v>
      </c>
      <c r="C508" s="18"/>
      <c r="F508" s="11" t="str">
        <f>HYPERLINK("http://www.biblegateway.com/passage/?search=John%208:%2012-14,%2021-24,%2030-32,%2051-59%20%20&amp;version=NIV",A508)</f>
        <v xml:space="preserve">John 8: 12-14, 21-24, 30-32, 51-59  </v>
      </c>
    </row>
    <row r="509" spans="1:6" x14ac:dyDescent="0.3">
      <c r="A509" s="4" t="s">
        <v>450</v>
      </c>
      <c r="B509" s="1">
        <v>509</v>
      </c>
      <c r="C509" s="18"/>
      <c r="E509" s="13" t="s">
        <v>633</v>
      </c>
      <c r="F509" s="12" t="str">
        <f>TRIM(MID(A509,FIND(":",A509)+2,500))</f>
        <v>Short transition</v>
      </c>
    </row>
    <row r="510" spans="1:6" x14ac:dyDescent="0.3">
      <c r="A510" s="3" t="s">
        <v>276</v>
      </c>
      <c r="B510" s="1">
        <v>510</v>
      </c>
      <c r="C510" s="18"/>
      <c r="F510" s="11" t="str">
        <f>HYPERLINK("http://www.biblegateway.com/passage/?search=John%2011:1-53&amp;version=NIV",A510)</f>
        <v>John 11:1-53</v>
      </c>
    </row>
    <row r="511" spans="1:6" ht="31.5" x14ac:dyDescent="0.3">
      <c r="A511" s="4" t="s">
        <v>515</v>
      </c>
      <c r="B511" s="1">
        <v>511</v>
      </c>
      <c r="C511" s="18"/>
      <c r="E511" s="13" t="s">
        <v>633</v>
      </c>
      <c r="F511" s="12" t="str">
        <f>TRIM(MID(A511,FIND(":",A511)+2,500))</f>
        <v>Short transition telling that Jesus began his journey to Jerusalem even though he knew that death awaited him there.</v>
      </c>
    </row>
    <row r="512" spans="1:6" x14ac:dyDescent="0.3">
      <c r="A512" s="3" t="s">
        <v>277</v>
      </c>
      <c r="B512" s="1">
        <v>512</v>
      </c>
      <c r="C512" s="18"/>
      <c r="F512" s="11" t="str">
        <f>HYPERLINK("http://www.biblegateway.com/passage/?search=Mark%2010:13-34&amp;version=NIV",A512)</f>
        <v>Mark 10:13-34</v>
      </c>
    </row>
    <row r="513" spans="1:6" x14ac:dyDescent="0.3">
      <c r="A513" s="3" t="s">
        <v>278</v>
      </c>
      <c r="B513" s="1">
        <v>513</v>
      </c>
      <c r="C513" s="18"/>
      <c r="F513" s="11" t="str">
        <f>HYPERLINK("http://www.biblegateway.com/passage/?search=John%2011:55-57&amp;version=NIV",A513)</f>
        <v>John 11:55-57</v>
      </c>
    </row>
    <row r="514" spans="1:6" x14ac:dyDescent="0.3">
      <c r="A514" s="4" t="s">
        <v>516</v>
      </c>
      <c r="B514" s="1">
        <v>514</v>
      </c>
      <c r="C514" s="18"/>
      <c r="E514" s="13" t="s">
        <v>633</v>
      </c>
      <c r="F514" s="12" t="str">
        <f>TRIM(MID(A514,FIND(":",A514)+2,500))</f>
        <v>Short transition: the wait is over</v>
      </c>
    </row>
    <row r="515" spans="1:6" x14ac:dyDescent="0.3">
      <c r="A515" s="3" t="s">
        <v>279</v>
      </c>
      <c r="B515" s="1">
        <v>515</v>
      </c>
      <c r="C515" s="18"/>
      <c r="F515" s="11" t="str">
        <f>HYPERLINK("http://www.biblegateway.com/passage/?search=Mark%2011:1-10&amp;version=NIV",A515)</f>
        <v>Mark 11:1-10</v>
      </c>
    </row>
    <row r="516" spans="1:6" x14ac:dyDescent="0.3">
      <c r="A516" s="3" t="s">
        <v>280</v>
      </c>
      <c r="B516" s="1">
        <v>516</v>
      </c>
      <c r="C516" s="18"/>
      <c r="F516" s="11" t="str">
        <f>HYPERLINK("http://www.biblegateway.com/passage/?search=Matthew%2021:10-17&amp;version=NIV",A516)</f>
        <v>Matthew 21:10-17</v>
      </c>
    </row>
    <row r="517" spans="1:6" x14ac:dyDescent="0.3">
      <c r="A517" s="4" t="s">
        <v>517</v>
      </c>
      <c r="B517" s="1">
        <v>517</v>
      </c>
      <c r="C517" s="18"/>
      <c r="E517" s="13" t="s">
        <v>633</v>
      </c>
      <c r="F517" s="12" t="str">
        <f>TRIM(MID(A517,FIND(":",A517)+2,500))</f>
        <v>Short transition to show that Jesus is talking.</v>
      </c>
    </row>
    <row r="518" spans="1:6" x14ac:dyDescent="0.3">
      <c r="A518" s="3" t="s">
        <v>281</v>
      </c>
      <c r="B518" s="1">
        <v>518</v>
      </c>
      <c r="C518" s="18"/>
      <c r="F518" s="11" t="str">
        <f>HYPERLINK("http://www.biblegateway.com/passage/?search=Mark%2012:35-37&amp;version=NIV",A518)</f>
        <v>Mark 12:35-37</v>
      </c>
    </row>
    <row r="519" spans="1:6" x14ac:dyDescent="0.3">
      <c r="A519" s="4" t="s">
        <v>518</v>
      </c>
      <c r="B519" s="1">
        <v>519</v>
      </c>
      <c r="C519" s="18"/>
      <c r="E519" s="13" t="s">
        <v>633</v>
      </c>
      <c r="F519" s="12" t="str">
        <f>TRIM(MID(A519,FIND(":",A519)+2,500))</f>
        <v>Jesus does God’s will</v>
      </c>
    </row>
    <row r="520" spans="1:6" x14ac:dyDescent="0.3">
      <c r="A520" s="3" t="s">
        <v>282</v>
      </c>
      <c r="B520" s="1">
        <v>520</v>
      </c>
      <c r="C520" s="18"/>
      <c r="F520" s="11" t="str">
        <f>HYPERLINK("http://www.biblegateway.com/passage/?search=John%2012:27-33,%2037,42-50&amp;version=NIV",A520)</f>
        <v>John 12:27-33, 37,42-50</v>
      </c>
    </row>
    <row r="521" spans="1:6" x14ac:dyDescent="0.3">
      <c r="A521" s="3" t="s">
        <v>283</v>
      </c>
      <c r="B521" s="1">
        <v>521</v>
      </c>
      <c r="C521" s="18"/>
      <c r="F521" s="11" t="str">
        <f>HYPERLINK("http://www.biblegateway.com/passage/?search=Mark%2014:1-2&amp;version=NIV",A521)</f>
        <v>Mark 14:1-2</v>
      </c>
    </row>
    <row r="522" spans="1:6" x14ac:dyDescent="0.3">
      <c r="A522" s="4" t="s">
        <v>519</v>
      </c>
      <c r="B522" s="1">
        <v>522</v>
      </c>
      <c r="C522" s="18"/>
      <c r="E522" s="13" t="s">
        <v>633</v>
      </c>
      <c r="F522" s="12" t="str">
        <f>TRIM(MID(A522,FIND(":",A522)+2,500))</f>
        <v>Short Transition</v>
      </c>
    </row>
    <row r="523" spans="1:6" x14ac:dyDescent="0.3">
      <c r="A523" s="3" t="s">
        <v>284</v>
      </c>
      <c r="B523" s="1">
        <v>523</v>
      </c>
      <c r="C523" s="18"/>
      <c r="F523" s="11" t="str">
        <f>HYPERLINK("http://www.biblegateway.com/passage/?search=Luke%2022:3-6&amp;version=NIV",A523)</f>
        <v>Luke 22:3-6</v>
      </c>
    </row>
    <row r="524" spans="1:6" x14ac:dyDescent="0.3">
      <c r="B524" s="1">
        <v>524</v>
      </c>
    </row>
    <row r="525" spans="1:6" x14ac:dyDescent="0.3">
      <c r="B525" s="1">
        <v>525</v>
      </c>
      <c r="C525" s="16" t="s">
        <v>606</v>
      </c>
    </row>
    <row r="526" spans="1:6" ht="18" x14ac:dyDescent="0.25">
      <c r="B526" s="1">
        <v>526</v>
      </c>
      <c r="D526" s="20" t="s">
        <v>607</v>
      </c>
    </row>
    <row r="527" spans="1:6" x14ac:dyDescent="0.3">
      <c r="A527" s="3" t="s">
        <v>285</v>
      </c>
      <c r="B527" s="1">
        <v>527</v>
      </c>
      <c r="C527" s="18"/>
      <c r="F527" s="11" t="str">
        <f>HYPERLINK("http://www.biblegateway.com/passage/?search=Mark%2014:12-17&amp;version=NIV",A527)</f>
        <v>Mark 14:12-17</v>
      </c>
    </row>
    <row r="528" spans="1:6" x14ac:dyDescent="0.3">
      <c r="A528" s="3" t="s">
        <v>286</v>
      </c>
      <c r="B528" s="1">
        <v>528</v>
      </c>
      <c r="C528" s="18"/>
      <c r="F528" s="11" t="str">
        <f>HYPERLINK("http://www.biblegateway.com/passage/?search=John%2013:1a-17,%2021-30&amp;version=NIV",A528)</f>
        <v>John 13:1a-17, 21-30</v>
      </c>
    </row>
    <row r="529" spans="1:6" x14ac:dyDescent="0.3">
      <c r="A529" s="4" t="s">
        <v>519</v>
      </c>
      <c r="B529" s="1">
        <v>529</v>
      </c>
      <c r="C529" s="18"/>
      <c r="E529" s="13" t="s">
        <v>633</v>
      </c>
      <c r="F529" s="12" t="str">
        <f>TRIM(MID(A529,FIND(":",A529)+2,500))</f>
        <v>Short Transition</v>
      </c>
    </row>
    <row r="530" spans="1:6" x14ac:dyDescent="0.3">
      <c r="A530" s="3" t="s">
        <v>287</v>
      </c>
      <c r="B530" s="1">
        <v>530</v>
      </c>
      <c r="C530" s="18"/>
      <c r="F530" s="11" t="str">
        <f>HYPERLINK("http://www.biblegateway.com/passage/?search=Matthew%2026:26-29&amp;version=NIV",A530)</f>
        <v>Matthew 26:26-29</v>
      </c>
    </row>
    <row r="531" spans="1:6" x14ac:dyDescent="0.3">
      <c r="A531" s="4" t="s">
        <v>520</v>
      </c>
      <c r="B531" s="1">
        <v>531</v>
      </c>
      <c r="C531" s="18"/>
      <c r="E531" s="13" t="s">
        <v>633</v>
      </c>
      <c r="F531" s="12" t="str">
        <f>TRIM(MID(A531,FIND(":",A531)+2,500))</f>
        <v>Short transition to Jesus talking</v>
      </c>
    </row>
    <row r="532" spans="1:6" x14ac:dyDescent="0.3">
      <c r="A532" s="3" t="s">
        <v>288</v>
      </c>
      <c r="B532" s="1">
        <v>532</v>
      </c>
      <c r="C532" s="18"/>
      <c r="F532" s="11" t="str">
        <f>HYPERLINK("http://www.biblegateway.com/passage/?search=John%2014:1-17&amp;version=NIV",A532)</f>
        <v>John 14:1-17</v>
      </c>
    </row>
    <row r="533" spans="1:6" x14ac:dyDescent="0.3">
      <c r="A533" s="3" t="s">
        <v>289</v>
      </c>
      <c r="B533" s="1">
        <v>533</v>
      </c>
      <c r="C533" s="18"/>
      <c r="F533" s="11" t="str">
        <f>HYPERLINK("http://www.biblegateway.com/passage/?search=John%2016:12-13,32-33&amp;version=NIV",A533)</f>
        <v>John 16:12-13,32-33</v>
      </c>
    </row>
    <row r="534" spans="1:6" x14ac:dyDescent="0.3">
      <c r="A534" s="3" t="s">
        <v>290</v>
      </c>
      <c r="B534" s="1">
        <v>534</v>
      </c>
      <c r="C534" s="18"/>
      <c r="F534" s="11" t="str">
        <f>HYPERLINK("http://www.biblegateway.com/passage/?search=John%2017:1-5,24-26&amp;version=NIV",A534)</f>
        <v>John 17:1-5,24-26</v>
      </c>
    </row>
    <row r="535" spans="1:6" x14ac:dyDescent="0.3">
      <c r="A535" s="3" t="s">
        <v>291</v>
      </c>
      <c r="B535" s="1">
        <v>535</v>
      </c>
      <c r="C535" s="18"/>
      <c r="F535" s="11" t="str">
        <f>HYPERLINK("http://www.biblegateway.com/passage/?search=Matthew%2026:30&amp;version=NIV",A535)</f>
        <v>Matthew 26:30</v>
      </c>
    </row>
    <row r="536" spans="1:6" x14ac:dyDescent="0.3">
      <c r="A536" s="4" t="s">
        <v>292</v>
      </c>
      <c r="B536" s="1">
        <v>536</v>
      </c>
      <c r="C536" s="18"/>
      <c r="E536" s="13" t="s">
        <v>633</v>
      </c>
      <c r="F536" s="14"/>
    </row>
    <row r="537" spans="1:6" x14ac:dyDescent="0.3">
      <c r="A537" s="3" t="s">
        <v>293</v>
      </c>
      <c r="B537" s="1">
        <v>537</v>
      </c>
      <c r="C537" s="18"/>
      <c r="F537" s="11" t="str">
        <f>HYPERLINK("http://www.biblegateway.com/passage/?search=Matthew%2026:31-42&amp;version=NIV",A537)</f>
        <v>Matthew 26:31-42</v>
      </c>
    </row>
    <row r="538" spans="1:6" x14ac:dyDescent="0.3">
      <c r="A538" s="3" t="s">
        <v>294</v>
      </c>
      <c r="B538" s="1">
        <v>538</v>
      </c>
      <c r="C538" s="18"/>
      <c r="F538" s="11" t="str">
        <f>HYPERLINK("http://www.biblegateway.com/passage/?search=Luke%2022:43-44&amp;version=NIV",A538)</f>
        <v>Luke 22:43-44</v>
      </c>
    </row>
    <row r="539" spans="1:6" x14ac:dyDescent="0.3">
      <c r="A539" s="3" t="s">
        <v>295</v>
      </c>
      <c r="B539" s="1">
        <v>539</v>
      </c>
      <c r="C539" s="18"/>
      <c r="F539" s="11" t="str">
        <f>HYPERLINK("http://www.biblegateway.com/passage/?search=Matthew%2026:43-47&amp;version=NIV",A539)</f>
        <v>Matthew 26:43-47</v>
      </c>
    </row>
    <row r="540" spans="1:6" x14ac:dyDescent="0.3">
      <c r="A540" s="3" t="s">
        <v>296</v>
      </c>
      <c r="B540" s="1">
        <v>540</v>
      </c>
      <c r="C540" s="18"/>
      <c r="F540" s="11" t="str">
        <f>HYPERLINK("http://www.biblegateway.com/passage/?search=John%2018:4-11&amp;version=NIV",A540)</f>
        <v>John 18:4-11</v>
      </c>
    </row>
    <row r="541" spans="1:6" x14ac:dyDescent="0.3">
      <c r="A541" s="3" t="s">
        <v>297</v>
      </c>
      <c r="B541" s="1">
        <v>541</v>
      </c>
      <c r="C541" s="18"/>
      <c r="F541" s="11" t="str">
        <f>HYPERLINK("http://www.biblegateway.com/passage/?search=Luke%2022:51b-53&amp;version=NIV",A541)</f>
        <v>Luke 22:51b-53</v>
      </c>
    </row>
    <row r="542" spans="1:6" ht="31.5" x14ac:dyDescent="0.3">
      <c r="A542" s="4" t="s">
        <v>521</v>
      </c>
      <c r="B542" s="1">
        <v>542</v>
      </c>
      <c r="C542" s="18"/>
      <c r="E542" s="13" t="s">
        <v>633</v>
      </c>
      <c r="F542" s="12" t="str">
        <f>TRIM(MID(A542,FIND(":",A542)+2,500))</f>
        <v>Short transition explaining that the soldiers arrested Jesus and all the disciples fled.</v>
      </c>
    </row>
    <row r="543" spans="1:6" x14ac:dyDescent="0.3">
      <c r="A543" s="3" t="s">
        <v>298</v>
      </c>
      <c r="B543" s="1">
        <v>543</v>
      </c>
      <c r="C543" s="18"/>
      <c r="F543" s="11" t="str">
        <f>HYPERLINK("http://www.biblegateway.com/passage/?search=Matthew%2026:57-68&amp;version=NIV",A543)</f>
        <v>Matthew 26:57-68</v>
      </c>
    </row>
    <row r="544" spans="1:6" x14ac:dyDescent="0.3">
      <c r="A544" s="4" t="s">
        <v>522</v>
      </c>
      <c r="B544" s="1">
        <v>544</v>
      </c>
      <c r="C544" s="18"/>
      <c r="E544" s="13" t="s">
        <v>633</v>
      </c>
      <c r="F544" s="12" t="str">
        <f>TRIM(MID(A544,FIND(":",A544)+2,500))</f>
        <v>Short Transition into the story of Peter’s denial</v>
      </c>
    </row>
    <row r="545" spans="1:6" x14ac:dyDescent="0.3">
      <c r="A545" s="3" t="s">
        <v>299</v>
      </c>
      <c r="B545" s="1">
        <v>545</v>
      </c>
      <c r="C545" s="18"/>
      <c r="F545" s="11" t="str">
        <f>HYPERLINK("http://www.biblegateway.com/passage/?search=Luke%2022:55-62&amp;version=NIV",A545)</f>
        <v>Luke 22:55-62</v>
      </c>
    </row>
    <row r="546" spans="1:6" x14ac:dyDescent="0.3">
      <c r="A546" s="3" t="s">
        <v>300</v>
      </c>
      <c r="B546" s="1">
        <v>546</v>
      </c>
      <c r="C546" s="18"/>
      <c r="F546" s="11" t="str">
        <f>HYPERLINK("http://www.biblegateway.com/passage/?search=Matthew%2027:1-5&amp;version=NIV",A546)</f>
        <v>Matthew 27:1-5</v>
      </c>
    </row>
    <row r="547" spans="1:6" ht="31.5" x14ac:dyDescent="0.3">
      <c r="A547" s="4" t="s">
        <v>523</v>
      </c>
      <c r="B547" s="1">
        <v>547</v>
      </c>
      <c r="C547" s="18"/>
      <c r="E547" s="13" t="s">
        <v>633</v>
      </c>
      <c r="F547" s="12" t="str">
        <f>TRIM(MID(A547,FIND(":",A547)+2,500))</f>
        <v>Short transition, introducing Pilate, into the story of Jesus before Pilate the Governor</v>
      </c>
    </row>
    <row r="548" spans="1:6" x14ac:dyDescent="0.3">
      <c r="A548" s="3" t="s">
        <v>561</v>
      </c>
      <c r="B548" s="1">
        <v>548</v>
      </c>
      <c r="C548" s="18"/>
      <c r="F548" s="11" t="str">
        <f>HYPERLINK("http://www.biblegateway.com/passage/?search=John%2018:33-19:16&amp;version=NIV",A548)</f>
        <v>John 18:33-19:16</v>
      </c>
    </row>
    <row r="549" spans="1:6" x14ac:dyDescent="0.3">
      <c r="A549" s="3" t="s">
        <v>301</v>
      </c>
      <c r="B549" s="1">
        <v>549</v>
      </c>
      <c r="C549" s="18"/>
      <c r="F549" s="11" t="str">
        <f>HYPERLINK("http://www.biblegateway.com/passage/?search=Matthew%2027:32&amp;version=NIV",A549)</f>
        <v>Matthew 27:32</v>
      </c>
    </row>
    <row r="550" spans="1:6" ht="31.5" x14ac:dyDescent="0.3">
      <c r="A550" s="7" t="s">
        <v>524</v>
      </c>
      <c r="B550" s="1">
        <v>550</v>
      </c>
      <c r="C550" s="18"/>
      <c r="E550" s="13" t="s">
        <v>633</v>
      </c>
      <c r="F550" s="12" t="str">
        <f>TRIM(MID(A550,FIND(":",A550)+2,500))</f>
        <v>Short transition explaining that as they crucified Jesus (explain crucifixion), he cried out for God to forgive them.</v>
      </c>
    </row>
    <row r="551" spans="1:6" x14ac:dyDescent="0.3">
      <c r="A551" s="3" t="s">
        <v>302</v>
      </c>
      <c r="B551" s="1">
        <v>551</v>
      </c>
      <c r="C551" s="18"/>
      <c r="F551" s="11" t="str">
        <f>HYPERLINK("http://www.biblegateway.com/passage/?search=Mark%2015:29-32a&amp;version=NIV",A551)</f>
        <v>Mark 15:29-32a</v>
      </c>
    </row>
    <row r="552" spans="1:6" x14ac:dyDescent="0.3">
      <c r="A552" s="3" t="s">
        <v>303</v>
      </c>
      <c r="B552" s="1">
        <v>552</v>
      </c>
      <c r="C552" s="18"/>
      <c r="F552" s="11" t="str">
        <f>HYPERLINK("http://www.biblegateway.com/passage/?search=Luke%2023:32-43&amp;version=NIV",A552)</f>
        <v>Luke 23:32-43</v>
      </c>
    </row>
    <row r="553" spans="1:6" x14ac:dyDescent="0.3">
      <c r="A553" s="3" t="s">
        <v>304</v>
      </c>
      <c r="B553" s="1">
        <v>553</v>
      </c>
      <c r="C553" s="18"/>
      <c r="F553" s="11" t="str">
        <f>HYPERLINK("http://www.biblegateway.com/passage/?search=John%2019:25-27&amp;version=NIV",A553)</f>
        <v>John 19:25-27</v>
      </c>
    </row>
    <row r="554" spans="1:6" ht="31.5" x14ac:dyDescent="0.3">
      <c r="A554" s="4" t="s">
        <v>525</v>
      </c>
      <c r="B554" s="1">
        <v>554</v>
      </c>
      <c r="C554" s="18"/>
      <c r="E554" s="13" t="s">
        <v>633</v>
      </c>
      <c r="F554" s="12" t="str">
        <f>TRIM(MID(A554,FIND(":",A554)+2,500))</f>
        <v>Short Transition, explain that some time has passed and the pain of suffocation as Christ was hanging on the cross.</v>
      </c>
    </row>
    <row r="555" spans="1:6" x14ac:dyDescent="0.3">
      <c r="A555" s="3" t="s">
        <v>305</v>
      </c>
      <c r="B555" s="1">
        <v>555</v>
      </c>
      <c r="C555" s="18"/>
      <c r="F555" s="11" t="str">
        <f>HYPERLINK("http://www.biblegateway.com/passage/?search=Luke%2023:44-45a&amp;version=NIV",A555)</f>
        <v>Luke 23:44-45a</v>
      </c>
    </row>
    <row r="556" spans="1:6" x14ac:dyDescent="0.3">
      <c r="A556" s="3" t="s">
        <v>306</v>
      </c>
      <c r="B556" s="1">
        <v>556</v>
      </c>
      <c r="C556" s="18"/>
      <c r="F556" s="11" t="str">
        <f>HYPERLINK("http://www.biblegateway.com/passage/?search=Matthew%2027:46-49&amp;version=NIV",A556)</f>
        <v>Matthew 27:46-49</v>
      </c>
    </row>
    <row r="557" spans="1:6" x14ac:dyDescent="0.3">
      <c r="A557" s="3" t="s">
        <v>307</v>
      </c>
      <c r="B557" s="1">
        <v>557</v>
      </c>
      <c r="C557" s="18"/>
      <c r="F557" s="11" t="str">
        <f>HYPERLINK("http://www.biblegateway.com/passage/?search=John%2019:30&amp;version=NIV",A557)</f>
        <v>John 19:30</v>
      </c>
    </row>
    <row r="558" spans="1:6" x14ac:dyDescent="0.3">
      <c r="A558" s="3" t="s">
        <v>308</v>
      </c>
      <c r="B558" s="1">
        <v>558</v>
      </c>
      <c r="C558" s="18"/>
      <c r="F558" s="11" t="str">
        <f>HYPERLINK("http://www.biblegateway.com/passage/?search=Matthew%2027:51-54&amp;version=NIV",A558)</f>
        <v>Matthew 27:51-54</v>
      </c>
    </row>
    <row r="559" spans="1:6" x14ac:dyDescent="0.3">
      <c r="A559" s="3" t="s">
        <v>309</v>
      </c>
      <c r="B559" s="1">
        <v>559</v>
      </c>
      <c r="C559" s="18"/>
      <c r="F559" s="11" t="str">
        <f>HYPERLINK("http://www.biblegateway.com/passage/?search=Luke%2023:48-49&amp;version=NIV",A559)</f>
        <v>Luke 23:48-49</v>
      </c>
    </row>
    <row r="560" spans="1:6" x14ac:dyDescent="0.3">
      <c r="B560" s="1">
        <v>560</v>
      </c>
    </row>
    <row r="561" spans="1:6" x14ac:dyDescent="0.3">
      <c r="B561" s="1">
        <v>561</v>
      </c>
      <c r="C561" s="16" t="s">
        <v>608</v>
      </c>
    </row>
    <row r="562" spans="1:6" ht="18" x14ac:dyDescent="0.25">
      <c r="B562" s="1">
        <v>562</v>
      </c>
      <c r="D562" s="20" t="s">
        <v>609</v>
      </c>
    </row>
    <row r="563" spans="1:6" x14ac:dyDescent="0.3">
      <c r="A563" s="3" t="s">
        <v>310</v>
      </c>
      <c r="B563" s="1">
        <v>563</v>
      </c>
      <c r="C563" s="18"/>
      <c r="F563" s="11" t="str">
        <f>HYPERLINK("http://www.biblegateway.com/passage/?search=John%2019:31-42,&amp;version=NIV",A563)</f>
        <v>John 19:31-42,</v>
      </c>
    </row>
    <row r="564" spans="1:6" x14ac:dyDescent="0.3">
      <c r="A564" s="3" t="s">
        <v>311</v>
      </c>
      <c r="B564" s="1">
        <v>564</v>
      </c>
      <c r="C564" s="18"/>
      <c r="F564" s="11" t="str">
        <f>HYPERLINK("http://www.biblegateway.com/passage/?search=Matthew%2027:62-66&amp;version=NIV",A564)</f>
        <v>Matthew 27:62-66</v>
      </c>
    </row>
    <row r="565" spans="1:6" x14ac:dyDescent="0.3">
      <c r="A565" s="4" t="s">
        <v>312</v>
      </c>
      <c r="B565" s="1">
        <v>565</v>
      </c>
      <c r="C565" s="18"/>
      <c r="E565" s="13" t="s">
        <v>633</v>
      </c>
      <c r="F565" s="14"/>
    </row>
    <row r="566" spans="1:6" x14ac:dyDescent="0.3">
      <c r="A566" s="3" t="s">
        <v>313</v>
      </c>
      <c r="B566" s="1">
        <v>566</v>
      </c>
      <c r="C566" s="18"/>
      <c r="F566" s="11" t="str">
        <f>HYPERLINK("http://www.biblegateway.com/passage/?search=Mark%2016:1-3&amp;version=NIV",A566)</f>
        <v>Mark 16:1-3</v>
      </c>
    </row>
    <row r="567" spans="1:6" x14ac:dyDescent="0.3">
      <c r="A567" s="3" t="s">
        <v>314</v>
      </c>
      <c r="B567" s="1">
        <v>567</v>
      </c>
      <c r="C567" s="18"/>
      <c r="F567" s="11" t="str">
        <f>HYPERLINK("http://www.biblegateway.com/passage/?search=Matthew%2028:2-8&amp;version=NIV",A567)</f>
        <v>Matthew 28:2-8</v>
      </c>
    </row>
    <row r="568" spans="1:6" x14ac:dyDescent="0.3">
      <c r="A568" s="3" t="s">
        <v>315</v>
      </c>
      <c r="B568" s="1">
        <v>568</v>
      </c>
      <c r="C568" s="18"/>
      <c r="F568" s="11" t="str">
        <f>HYPERLINK("http://www.biblegateway.com/passage/?search=John%2020:3-18&amp;version=NIV",A568)</f>
        <v>John 20:3-18</v>
      </c>
    </row>
    <row r="569" spans="1:6" x14ac:dyDescent="0.3">
      <c r="A569" s="3" t="s">
        <v>316</v>
      </c>
      <c r="B569" s="1">
        <v>569</v>
      </c>
      <c r="C569" s="18"/>
      <c r="F569" s="11" t="str">
        <f>HYPERLINK("http://www.biblegateway.com/passage/?search=Luke%2024:13-49&amp;version=NIV",A569)</f>
        <v>Luke 24:13-49</v>
      </c>
    </row>
    <row r="570" spans="1:6" x14ac:dyDescent="0.3">
      <c r="A570" s="3" t="s">
        <v>317</v>
      </c>
      <c r="B570" s="1">
        <v>570</v>
      </c>
      <c r="C570" s="18"/>
      <c r="F570" s="11" t="str">
        <f>HYPERLINK("http://www.biblegateway.com/passage/?search=John%2020:24-29&amp;version=NIV",A570)</f>
        <v>John 20:24-29</v>
      </c>
    </row>
    <row r="571" spans="1:6" x14ac:dyDescent="0.3">
      <c r="A571" s="3" t="s">
        <v>318</v>
      </c>
      <c r="B571" s="1">
        <v>571</v>
      </c>
      <c r="C571" s="18"/>
      <c r="F571" s="11" t="str">
        <f>HYPERLINK("http://www.biblegateway.com/passage/?search=John%2021:1-19&amp;version=NIV",A571)</f>
        <v>John 21:1-19</v>
      </c>
    </row>
    <row r="572" spans="1:6" x14ac:dyDescent="0.3">
      <c r="A572" s="3" t="s">
        <v>319</v>
      </c>
      <c r="B572" s="1">
        <v>572</v>
      </c>
      <c r="C572" s="18"/>
      <c r="F572" s="11" t="str">
        <f>HYPERLINK("http://www.biblegateway.com/passage/?search=Matthew%2028:16-20&amp;version=NIV",A572)</f>
        <v>Matthew 28:16-20</v>
      </c>
    </row>
    <row r="573" spans="1:6" x14ac:dyDescent="0.3">
      <c r="A573" s="3" t="s">
        <v>320</v>
      </c>
      <c r="B573" s="1">
        <v>573</v>
      </c>
      <c r="C573" s="18"/>
      <c r="F573" s="11" t="str">
        <f>HYPERLINK("http://www.biblegateway.com/passage/?search=John%2021:25a&amp;version=NIV",A573)</f>
        <v>John 21:25a</v>
      </c>
    </row>
    <row r="574" spans="1:6" x14ac:dyDescent="0.3">
      <c r="A574" s="3" t="s">
        <v>321</v>
      </c>
      <c r="B574" s="1">
        <v>574</v>
      </c>
      <c r="C574" s="18"/>
      <c r="F574" s="11" t="str">
        <f>HYPERLINK("http://www.biblegateway.com/passage/?search=John%2020:31&amp;version=NIV",A574)</f>
        <v>John 20:31</v>
      </c>
    </row>
    <row r="575" spans="1:6" x14ac:dyDescent="0.3">
      <c r="A575" s="4" t="s">
        <v>292</v>
      </c>
      <c r="B575" s="1">
        <v>575</v>
      </c>
      <c r="C575" s="18"/>
      <c r="E575" s="13" t="s">
        <v>633</v>
      </c>
      <c r="F575" s="14"/>
    </row>
    <row r="576" spans="1:6" x14ac:dyDescent="0.3">
      <c r="B576" s="1">
        <v>576</v>
      </c>
    </row>
    <row r="577" spans="1:6" x14ac:dyDescent="0.3">
      <c r="B577" s="1">
        <v>577</v>
      </c>
      <c r="C577" s="16" t="s">
        <v>610</v>
      </c>
    </row>
    <row r="578" spans="1:6" ht="18" x14ac:dyDescent="0.25">
      <c r="B578" s="1">
        <v>578</v>
      </c>
      <c r="D578" s="20" t="s">
        <v>611</v>
      </c>
    </row>
    <row r="579" spans="1:6" x14ac:dyDescent="0.3">
      <c r="A579" s="3" t="s">
        <v>322</v>
      </c>
      <c r="B579" s="1">
        <v>579</v>
      </c>
      <c r="C579" s="18"/>
      <c r="F579" s="11" t="str">
        <f>HYPERLINK("http://www.biblegateway.com/passage/?search=Acts%201:1-11&amp;version=NIV",A579)</f>
        <v>Acts 1:1-11</v>
      </c>
    </row>
    <row r="580" spans="1:6" x14ac:dyDescent="0.3">
      <c r="A580" s="4" t="s">
        <v>526</v>
      </c>
      <c r="B580" s="1">
        <v>580</v>
      </c>
      <c r="C580" s="18"/>
      <c r="E580" s="13" t="s">
        <v>633</v>
      </c>
      <c r="F580" s="12" t="str">
        <f>TRIM(MID(A580,FIND(":",A580)+2,500))</f>
        <v>Pentecost</v>
      </c>
    </row>
    <row r="581" spans="1:6" x14ac:dyDescent="0.3">
      <c r="A581" s="3" t="s">
        <v>323</v>
      </c>
      <c r="B581" s="1">
        <v>581</v>
      </c>
      <c r="C581" s="18"/>
      <c r="F581" s="11" t="str">
        <f>HYPERLINK("http://www.biblegateway.com/passage/?search=Acts%202:1-24,32-33,36-47&amp;version=NIV",A581)</f>
        <v>Acts 2:1-24,32-33,36-47</v>
      </c>
    </row>
    <row r="582" spans="1:6" x14ac:dyDescent="0.3">
      <c r="A582" s="3" t="s">
        <v>324</v>
      </c>
      <c r="B582" s="1">
        <v>582</v>
      </c>
      <c r="C582" s="18"/>
      <c r="F582" s="11" t="str">
        <f>HYPERLINK("http://www.biblegateway.com/passage/?search=Acts%203:1-20&amp;version=NIV",A582)</f>
        <v>Acts 3:1-20</v>
      </c>
    </row>
    <row r="583" spans="1:6" x14ac:dyDescent="0.3">
      <c r="A583" s="3" t="s">
        <v>325</v>
      </c>
      <c r="B583" s="1">
        <v>583</v>
      </c>
      <c r="C583" s="18"/>
      <c r="F583" s="11" t="str">
        <f>HYPERLINK("http://www.biblegateway.com/passage/?search=Acts%204:1-21,32-35&amp;version=NIV",A583)</f>
        <v>Acts 4:1-21,32-35</v>
      </c>
    </row>
    <row r="584" spans="1:6" x14ac:dyDescent="0.3">
      <c r="A584" s="3" t="s">
        <v>326</v>
      </c>
      <c r="B584" s="1">
        <v>584</v>
      </c>
      <c r="C584" s="18"/>
      <c r="F584" s="11" t="str">
        <f>HYPERLINK("http://www.biblegateway.com/passage/?search=Acts%205:12-42&amp;version=NIV",A584)</f>
        <v>Acts 5:12-42</v>
      </c>
    </row>
    <row r="585" spans="1:6" x14ac:dyDescent="0.3">
      <c r="A585" s="4" t="s">
        <v>527</v>
      </c>
      <c r="B585" s="1">
        <v>585</v>
      </c>
      <c r="C585" s="18"/>
      <c r="E585" s="13" t="s">
        <v>633</v>
      </c>
      <c r="F585" s="12" t="str">
        <f>TRIM(MID(A585,FIND(":",A585)+2,500))</f>
        <v>Short Transition into the story of Stephen</v>
      </c>
    </row>
    <row r="586" spans="1:6" x14ac:dyDescent="0.3">
      <c r="A586" s="3" t="s">
        <v>327</v>
      </c>
      <c r="B586" s="1">
        <v>586</v>
      </c>
      <c r="C586" s="18"/>
      <c r="F586" s="11" t="str">
        <f>HYPERLINK("http://www.biblegateway.com/passage/?search=Acts%206:8-15&amp;version=NIV",A586)</f>
        <v>Acts 6:8-15</v>
      </c>
    </row>
    <row r="587" spans="1:6" x14ac:dyDescent="0.3">
      <c r="A587" s="3" t="s">
        <v>328</v>
      </c>
      <c r="B587" s="1">
        <v>587</v>
      </c>
      <c r="C587" s="18"/>
      <c r="F587" s="11" t="str">
        <f>HYPERLINK("http://www.biblegateway.com/passage/?search=Acts%207:1&amp;version=NIV",A587)</f>
        <v>Acts 7:1</v>
      </c>
    </row>
    <row r="588" spans="1:6" x14ac:dyDescent="0.3">
      <c r="A588" s="4" t="s">
        <v>528</v>
      </c>
      <c r="B588" s="1">
        <v>588</v>
      </c>
      <c r="C588" s="18"/>
      <c r="E588" s="13" t="s">
        <v>633</v>
      </c>
      <c r="F588" s="12" t="str">
        <f>TRIM(MID(A588,FIND(":",A588)+2,500))</f>
        <v>Short Transition explaining what Stephen said.</v>
      </c>
    </row>
    <row r="589" spans="1:6" x14ac:dyDescent="0.3">
      <c r="A589" s="3" t="s">
        <v>329</v>
      </c>
      <c r="B589" s="1">
        <v>589</v>
      </c>
      <c r="C589" s="18"/>
      <c r="F589" s="11" t="str">
        <f>HYPERLINK("http://www.biblegateway.com/passage/?search=Acts%207:51-60&amp;version=NIV",A589)</f>
        <v>Acts 7:51-60</v>
      </c>
    </row>
    <row r="590" spans="1:6" x14ac:dyDescent="0.3">
      <c r="A590" s="3" t="s">
        <v>330</v>
      </c>
      <c r="B590" s="1">
        <v>590</v>
      </c>
      <c r="C590" s="18"/>
      <c r="F590" s="11" t="str">
        <f>HYPERLINK("http://www.biblegateway.com/passage/?search=Acts%208:1-8&amp;version=NIV",A590)</f>
        <v>Acts 8:1-8</v>
      </c>
    </row>
    <row r="591" spans="1:6" x14ac:dyDescent="0.3">
      <c r="A591" s="3" t="s">
        <v>331</v>
      </c>
      <c r="B591" s="1">
        <v>591</v>
      </c>
      <c r="C591" s="18"/>
      <c r="F591" s="11" t="str">
        <f>HYPERLINK("http://www.biblegateway.com/passage/?search=Acts%209:1-31&amp;version=NIV",A591)</f>
        <v>Acts 9:1-31</v>
      </c>
    </row>
    <row r="592" spans="1:6" x14ac:dyDescent="0.3">
      <c r="A592" s="4" t="s">
        <v>450</v>
      </c>
      <c r="B592" s="1">
        <v>592</v>
      </c>
      <c r="C592" s="18"/>
      <c r="E592" s="13" t="s">
        <v>633</v>
      </c>
      <c r="F592" s="12" t="str">
        <f>TRIM(MID(A592,FIND(":",A592)+2,500))</f>
        <v>Short transition</v>
      </c>
    </row>
    <row r="593" spans="1:6" x14ac:dyDescent="0.3">
      <c r="A593" s="3" t="s">
        <v>332</v>
      </c>
      <c r="B593" s="1">
        <v>593</v>
      </c>
      <c r="C593" s="18"/>
      <c r="F593" s="11" t="str">
        <f>HYPERLINK("http://www.biblegateway.com/passage/?search=Acts%2010:1-28&amp;version=NIV",A593)</f>
        <v>Acts 10:1-28</v>
      </c>
    </row>
    <row r="594" spans="1:6" x14ac:dyDescent="0.3">
      <c r="A594" s="4" t="s">
        <v>568</v>
      </c>
      <c r="B594" s="1">
        <v>594</v>
      </c>
      <c r="C594" s="18"/>
      <c r="E594" s="13" t="s">
        <v>633</v>
      </c>
      <c r="F594" s="12" t="str">
        <f>TRIM(MID(A594,FIND(":",A594)+2,500))</f>
        <v>Growth of the church and persecution</v>
      </c>
    </row>
    <row r="595" spans="1:6" x14ac:dyDescent="0.3">
      <c r="A595" s="3" t="s">
        <v>333</v>
      </c>
      <c r="B595" s="1">
        <v>595</v>
      </c>
      <c r="C595" s="18"/>
      <c r="F595" s="11" t="str">
        <f>HYPERLINK("http://www.biblegateway.com/passage/?search=Acts%2012:1-24%20%20&amp;version=NIV",A595)</f>
        <v xml:space="preserve">Acts 12:1-24  </v>
      </c>
    </row>
    <row r="596" spans="1:6" x14ac:dyDescent="0.3">
      <c r="A596" s="4" t="s">
        <v>529</v>
      </c>
      <c r="B596" s="1">
        <v>596</v>
      </c>
      <c r="C596" s="18"/>
      <c r="E596" s="13" t="s">
        <v>633</v>
      </c>
      <c r="F596" s="12" t="str">
        <f>TRIM(MID(A596,FIND(":",A596)+2,500))</f>
        <v>Paul’s travels</v>
      </c>
    </row>
    <row r="597" spans="1:6" x14ac:dyDescent="0.3">
      <c r="B597" s="1">
        <v>597</v>
      </c>
    </row>
    <row r="598" spans="1:6" x14ac:dyDescent="0.3">
      <c r="B598" s="1">
        <v>598</v>
      </c>
      <c r="C598" s="16" t="s">
        <v>612</v>
      </c>
    </row>
    <row r="599" spans="1:6" ht="18" x14ac:dyDescent="0.25">
      <c r="B599" s="1">
        <v>599</v>
      </c>
      <c r="D599" s="20" t="s">
        <v>613</v>
      </c>
    </row>
    <row r="600" spans="1:6" x14ac:dyDescent="0.3">
      <c r="A600" s="3" t="s">
        <v>334</v>
      </c>
      <c r="B600" s="1">
        <v>600</v>
      </c>
      <c r="C600" s="18"/>
      <c r="F600" s="11" t="str">
        <f>HYPERLINK("http://www.biblegateway.com/passage/?search=Acts%2013:1-16,%2027-33a,%2038-39&amp;version=NIV",A600)</f>
        <v>Acts 13:1-16, 27-33a, 38-39</v>
      </c>
    </row>
    <row r="601" spans="1:6" x14ac:dyDescent="0.3">
      <c r="A601" s="3" t="s">
        <v>335</v>
      </c>
      <c r="B601" s="1">
        <v>601</v>
      </c>
      <c r="C601" s="18"/>
      <c r="F601" s="11" t="str">
        <f>HYPERLINK("http://www.biblegateway.com/passage/?search=Acts%2013:42-52&amp;version=NIV",A601)</f>
        <v>Acts 13:42-52</v>
      </c>
    </row>
    <row r="602" spans="1:6" x14ac:dyDescent="0.3">
      <c r="A602" s="4" t="s">
        <v>530</v>
      </c>
      <c r="B602" s="1">
        <v>602</v>
      </c>
      <c r="C602" s="18"/>
      <c r="E602" s="13" t="s">
        <v>633</v>
      </c>
      <c r="F602" s="12" t="str">
        <f>TRIM(MID(A602,FIND(":",A602)+2,500))</f>
        <v>Long transition discussing Paul’s mission to the Gentiles</v>
      </c>
    </row>
    <row r="603" spans="1:6" x14ac:dyDescent="0.3">
      <c r="A603" s="3" t="s">
        <v>336</v>
      </c>
      <c r="B603" s="1">
        <v>603</v>
      </c>
      <c r="C603" s="18"/>
      <c r="F603" s="11" t="str">
        <f>HYPERLINK("http://www.biblegateway.com/passage/?search=Acts%2014:1-18&amp;version=NIV",A603)</f>
        <v>Acts 14:1-18</v>
      </c>
    </row>
    <row r="604" spans="1:6" x14ac:dyDescent="0.3">
      <c r="A604" s="4" t="s">
        <v>567</v>
      </c>
      <c r="B604" s="1">
        <v>604</v>
      </c>
      <c r="C604" s="18"/>
      <c r="E604" s="13" t="s">
        <v>633</v>
      </c>
      <c r="F604" s="12" t="str">
        <f>TRIM(MID(A604,FIND(":",A604)+2,500))</f>
        <v>Long Transition covering Acts 14:21- Acts 16:15</v>
      </c>
    </row>
    <row r="605" spans="1:6" x14ac:dyDescent="0.3">
      <c r="A605" s="3" t="s">
        <v>337</v>
      </c>
      <c r="B605" s="1">
        <v>605</v>
      </c>
      <c r="C605" s="18"/>
      <c r="F605" s="11" t="str">
        <f>HYPERLINK("http://www.biblegateway.com/passage/?search=Acts%2016:13-40&amp;version=NIV",A605)</f>
        <v>Acts 16:13-40</v>
      </c>
    </row>
    <row r="606" spans="1:6" x14ac:dyDescent="0.3">
      <c r="A606" s="4" t="s">
        <v>531</v>
      </c>
      <c r="B606" s="1">
        <v>606</v>
      </c>
      <c r="C606" s="18"/>
      <c r="E606" s="13" t="s">
        <v>633</v>
      </c>
      <c r="F606" s="12" t="str">
        <f>TRIM(MID(A606,FIND(":",A606)+2,500))</f>
        <v>Short Transition: Paul’s opposition</v>
      </c>
    </row>
    <row r="607" spans="1:6" x14ac:dyDescent="0.3">
      <c r="A607" s="3" t="s">
        <v>338</v>
      </c>
      <c r="B607" s="1">
        <v>607</v>
      </c>
      <c r="C607" s="18"/>
      <c r="F607" s="11" t="str">
        <f>HYPERLINK("http://www.biblegateway.com/passage/?search=Acts%2017:1-10&amp;version=NIV",A607)</f>
        <v>Acts 17:1-10</v>
      </c>
    </row>
    <row r="608" spans="1:6" ht="31.5" x14ac:dyDescent="0.3">
      <c r="A608" s="4" t="s">
        <v>532</v>
      </c>
      <c r="B608" s="1">
        <v>608</v>
      </c>
      <c r="C608" s="18"/>
      <c r="E608" s="13" t="s">
        <v>633</v>
      </c>
      <c r="F608" s="12" t="str">
        <f>TRIM(MID(A608,FIND(":",A608)+2,500))</f>
        <v>Short Transition explaining Paul’s going to Berea, Athens and then transition into his heading to Corinth.</v>
      </c>
    </row>
    <row r="609" spans="1:6" x14ac:dyDescent="0.3">
      <c r="A609" s="3" t="s">
        <v>339</v>
      </c>
      <c r="B609" s="1">
        <v>609</v>
      </c>
      <c r="C609" s="18"/>
      <c r="F609" s="11" t="str">
        <f>HYPERLINK("http://www.biblegateway.com/passage/?search=Acts%2018:1-11&amp;version=NIV",A609)</f>
        <v>Acts 18:1-11</v>
      </c>
    </row>
    <row r="610" spans="1:6" ht="47.25" x14ac:dyDescent="0.3">
      <c r="A610" s="4" t="s">
        <v>533</v>
      </c>
      <c r="B610" s="1">
        <v>610</v>
      </c>
      <c r="C610" s="18"/>
      <c r="E610" s="13" t="s">
        <v>633</v>
      </c>
      <c r="F610" s="12" t="str">
        <f>TRIM(MID(A610,FIND(":",A610)+2,500))</f>
        <v>Short Transition into the letters of Paul to the Thessalonians. (Explain that it was during the year and a half at Corinth that Paul wrote the letter?)</v>
      </c>
    </row>
    <row r="611" spans="1:6" x14ac:dyDescent="0.3">
      <c r="A611" s="3" t="s">
        <v>340</v>
      </c>
      <c r="B611" s="1">
        <v>611</v>
      </c>
      <c r="C611" s="18"/>
      <c r="F611" s="11" t="str">
        <f>HYPERLINK("http://www.biblegateway.com/passage/?search=1%20Thessalonians%201:1-10&amp;version=NIV",A611)</f>
        <v>1 Thessalonians 1:1-10</v>
      </c>
    </row>
    <row r="612" spans="1:6" x14ac:dyDescent="0.3">
      <c r="A612" s="3" t="s">
        <v>341</v>
      </c>
      <c r="B612" s="1">
        <v>612</v>
      </c>
      <c r="C612" s="18"/>
      <c r="F612" s="11" t="str">
        <f>HYPERLINK("http://www.biblegateway.com/passage/?search=1%20Thessalonians%202:1-8,17-20&amp;version=NIV",A612)</f>
        <v>1 Thessalonians 2:1-8,17-20</v>
      </c>
    </row>
    <row r="613" spans="1:6" x14ac:dyDescent="0.3">
      <c r="A613" s="3" t="s">
        <v>342</v>
      </c>
      <c r="B613" s="1">
        <v>613</v>
      </c>
      <c r="C613" s="18"/>
      <c r="F613" s="11" t="str">
        <f>HYPERLINK("http://www.biblegateway.com/passage/?search=1%20Thessalonians%203:1-13&amp;version=NIV",A613)</f>
        <v>1 Thessalonians 3:1-13</v>
      </c>
    </row>
    <row r="614" spans="1:6" x14ac:dyDescent="0.3">
      <c r="A614" s="3" t="s">
        <v>343</v>
      </c>
      <c r="B614" s="1">
        <v>614</v>
      </c>
      <c r="C614" s="18"/>
      <c r="F614" s="11" t="str">
        <f>HYPERLINK("http://www.biblegateway.com/passage/?search=1%20Thessalonians%204:16-18&amp;version=NIV",A614)</f>
        <v>1 Thessalonians 4:16-18</v>
      </c>
    </row>
    <row r="615" spans="1:6" x14ac:dyDescent="0.3">
      <c r="A615" s="3" t="s">
        <v>344</v>
      </c>
      <c r="B615" s="1">
        <v>615</v>
      </c>
      <c r="C615" s="18"/>
      <c r="F615" s="11" t="str">
        <f>HYPERLINK("http://www.biblegateway.com/passage/?search=1%20Thessalonians%205:16-28&amp;version=NIV",A615)</f>
        <v>1 Thessalonians 5:16-28</v>
      </c>
    </row>
    <row r="616" spans="1:6" x14ac:dyDescent="0.3">
      <c r="A616" s="4" t="s">
        <v>534</v>
      </c>
      <c r="B616" s="1">
        <v>616</v>
      </c>
      <c r="C616" s="18"/>
      <c r="E616" s="13" t="s">
        <v>633</v>
      </c>
      <c r="F616" s="12" t="str">
        <f>TRIM(MID(A616,FIND(":",A616)+2,500))</f>
        <v>Short Transition back into the story of Paul’s missionary journey</v>
      </c>
    </row>
    <row r="617" spans="1:6" x14ac:dyDescent="0.3">
      <c r="A617" s="3" t="s">
        <v>345</v>
      </c>
      <c r="B617" s="1">
        <v>617</v>
      </c>
      <c r="C617" s="18"/>
      <c r="F617" s="11" t="str">
        <f>HYPERLINK("http://www.biblegateway.com/passage/?search=Acts%2018:12-28&amp;version=NIV",A617)</f>
        <v>Acts 18:12-28</v>
      </c>
    </row>
    <row r="618" spans="1:6" x14ac:dyDescent="0.3">
      <c r="A618" s="4" t="s">
        <v>535</v>
      </c>
      <c r="B618" s="1">
        <v>618</v>
      </c>
      <c r="C618" s="18"/>
      <c r="E618" s="13" t="s">
        <v>633</v>
      </c>
      <c r="F618" s="12" t="str">
        <f>TRIM(MID(A618,FIND(":",A618)+2,500))</f>
        <v>Short Transition into the story of Paul at Corinth</v>
      </c>
    </row>
    <row r="619" spans="1:6" x14ac:dyDescent="0.3">
      <c r="A619" s="3" t="s">
        <v>346</v>
      </c>
      <c r="B619" s="1">
        <v>619</v>
      </c>
      <c r="C619" s="18"/>
      <c r="F619" s="11" t="str">
        <f>HYPERLINK("http://www.biblegateway.com/passage/?search=Acts%2019:1a,%208-20,23-41&amp;version=NIV",A619)</f>
        <v>Acts 19:1a, 8-20,23-41</v>
      </c>
    </row>
    <row r="620" spans="1:6" x14ac:dyDescent="0.3">
      <c r="A620" s="3" t="s">
        <v>347</v>
      </c>
      <c r="B620" s="1">
        <v>620</v>
      </c>
      <c r="C620" s="18"/>
      <c r="F620" s="11" t="str">
        <f>HYPERLINK("http://www.biblegateway.com/passage/?search=Acts%2020:1&amp;version=NIV",A620)</f>
        <v>Acts 20:1</v>
      </c>
    </row>
    <row r="621" spans="1:6" x14ac:dyDescent="0.3">
      <c r="A621" s="4" t="s">
        <v>536</v>
      </c>
      <c r="B621" s="1">
        <v>621</v>
      </c>
      <c r="C621" s="18"/>
      <c r="E621" s="13" t="s">
        <v>633</v>
      </c>
      <c r="F621" s="12" t="str">
        <f>TRIM(MID(A621,FIND(":",A621)+2,500))</f>
        <v>Short Transition to Paul’s letters to the Corinthians</v>
      </c>
    </row>
    <row r="622" spans="1:6" x14ac:dyDescent="0.3">
      <c r="A622" s="3" t="s">
        <v>348</v>
      </c>
      <c r="B622" s="1">
        <v>622</v>
      </c>
      <c r="C622" s="18"/>
      <c r="F622" s="11" t="str">
        <f>HYPERLINK("http://www.biblegateway.com/passage/?search=1%20Corinthians%201:1-3,%2010-13&amp;version=NIV",A622)</f>
        <v>1 Corinthians 1:1-3, 10-13</v>
      </c>
    </row>
    <row r="623" spans="1:6" x14ac:dyDescent="0.3">
      <c r="A623" s="3" t="s">
        <v>349</v>
      </c>
      <c r="B623" s="1">
        <v>623</v>
      </c>
      <c r="C623" s="18"/>
      <c r="F623" s="11" t="str">
        <f>HYPERLINK("http://www.biblegateway.com/passage/?search=1%20Corinthians%203:1-11,%2021-23&amp;version=NIV",A623)</f>
        <v>1 Corinthians 3:1-11, 21-23</v>
      </c>
    </row>
    <row r="624" spans="1:6" x14ac:dyDescent="0.3">
      <c r="A624" s="3" t="s">
        <v>350</v>
      </c>
      <c r="B624" s="1">
        <v>624</v>
      </c>
      <c r="C624" s="18"/>
      <c r="F624" s="11" t="str">
        <f>HYPERLINK("http://www.biblegateway.com/passage/?search=1%20Corinthians%205:9-13a&amp;version=NIV",A624)</f>
        <v>1 Corinthians 5:9-13a</v>
      </c>
    </row>
    <row r="625" spans="1:6" x14ac:dyDescent="0.3">
      <c r="A625" s="3" t="s">
        <v>351</v>
      </c>
      <c r="B625" s="1">
        <v>625</v>
      </c>
      <c r="C625" s="18"/>
      <c r="F625" s="11" t="str">
        <f>HYPERLINK("http://www.biblegateway.com/passage/?search=1%20Corinthians%206:18-20&amp;version=NIV",A625)</f>
        <v>1 Corinthians 6:18-20</v>
      </c>
    </row>
    <row r="626" spans="1:6" x14ac:dyDescent="0.3">
      <c r="A626" s="3" t="s">
        <v>352</v>
      </c>
      <c r="B626" s="1">
        <v>626</v>
      </c>
      <c r="C626" s="18"/>
      <c r="F626" s="11" t="str">
        <f>HYPERLINK("http://www.biblegateway.com/passage/?search=1%20Corinthians%2010:14-21&amp;version=NIV",A626)</f>
        <v>1 Corinthians 10:14-21</v>
      </c>
    </row>
    <row r="627" spans="1:6" x14ac:dyDescent="0.3">
      <c r="A627" s="3" t="s">
        <v>353</v>
      </c>
      <c r="B627" s="1">
        <v>627</v>
      </c>
      <c r="C627" s="18"/>
      <c r="F627" s="11" t="str">
        <f>HYPERLINK("http://www.biblegateway.com/passage/?search=1%20Corinthians%2012:1,4-6,12-18,27&amp;version=NIV",A627)</f>
        <v>1 Corinthians 12:1,4-6,12-18,27</v>
      </c>
    </row>
    <row r="628" spans="1:6" x14ac:dyDescent="0.3">
      <c r="A628" s="3" t="s">
        <v>354</v>
      </c>
      <c r="B628" s="1">
        <v>628</v>
      </c>
      <c r="C628" s="18"/>
      <c r="F628" s="11" t="str">
        <f>HYPERLINK("http://www.biblegateway.com/passage/?search=1%20Corinthians%2013:1-7&amp;version=NIV",A628)</f>
        <v>1 Corinthians 13:1-7</v>
      </c>
    </row>
    <row r="629" spans="1:6" x14ac:dyDescent="0.3">
      <c r="A629" s="3" t="s">
        <v>355</v>
      </c>
      <c r="B629" s="1">
        <v>629</v>
      </c>
      <c r="C629" s="18"/>
      <c r="F629" s="11" t="str">
        <f>HYPERLINK("http://www.biblegateway.com/passage/?search=1%20Corinthians%2015:1-25,%2051-58&amp;version=NIV",A629)</f>
        <v>1 Corinthians 15:1-25, 51-58</v>
      </c>
    </row>
    <row r="630" spans="1:6" x14ac:dyDescent="0.3">
      <c r="A630" s="3" t="s">
        <v>356</v>
      </c>
      <c r="B630" s="1">
        <v>630</v>
      </c>
      <c r="C630" s="18"/>
      <c r="F630" s="11" t="str">
        <f>HYPERLINK("http://www.biblegateway.com/passage/?search=1%20Corinthians%2016:19-24&amp;version=NIV",A630)</f>
        <v>1 Corinthians 16:19-24</v>
      </c>
    </row>
    <row r="631" spans="1:6" ht="47.25" x14ac:dyDescent="0.3">
      <c r="A631" s="4" t="s">
        <v>537</v>
      </c>
      <c r="B631" s="1">
        <v>631</v>
      </c>
      <c r="C631" s="18"/>
      <c r="E631" s="13" t="s">
        <v>633</v>
      </c>
      <c r="F631" s="12" t="s">
        <v>655</v>
      </c>
    </row>
    <row r="632" spans="1:6" x14ac:dyDescent="0.3">
      <c r="A632" s="3" t="s">
        <v>357</v>
      </c>
      <c r="B632" s="1">
        <v>632</v>
      </c>
      <c r="C632" s="18"/>
      <c r="F632" s="11" t="str">
        <f>HYPERLINK("http://www.biblegateway.com/passage/?search=Galatians%201:1-9&amp;version=NIV",A632)</f>
        <v>Galatians 1:1-9</v>
      </c>
    </row>
    <row r="633" spans="1:6" x14ac:dyDescent="0.3">
      <c r="A633" s="3" t="s">
        <v>358</v>
      </c>
      <c r="B633" s="1">
        <v>633</v>
      </c>
      <c r="C633" s="18"/>
      <c r="F633" s="11" t="str">
        <f>HYPERLINK("http://www.biblegateway.com/passage/?search=Galatians%203:1-5,10-11,23-28&amp;version=NIV",A633)</f>
        <v>Galatians 3:1-5,10-11,23-28</v>
      </c>
    </row>
    <row r="634" spans="1:6" x14ac:dyDescent="0.3">
      <c r="A634" s="3" t="s">
        <v>359</v>
      </c>
      <c r="B634" s="1">
        <v>634</v>
      </c>
      <c r="C634" s="18"/>
      <c r="F634" s="11" t="str">
        <f>HYPERLINK("http://www.biblegateway.com/passage/?search=Galatians%205:1,13,19-26&amp;version=NIV",A634)</f>
        <v>Galatians 5:1,13,19-26</v>
      </c>
    </row>
    <row r="635" spans="1:6" x14ac:dyDescent="0.3">
      <c r="A635" s="3" t="s">
        <v>360</v>
      </c>
      <c r="B635" s="1">
        <v>635</v>
      </c>
      <c r="C635" s="18"/>
      <c r="F635" s="11" t="str">
        <f>HYPERLINK("http://www.biblegateway.com/passage/?search=Galatians%206:18&amp;version=NIV",A635)</f>
        <v>Galatians 6:18</v>
      </c>
    </row>
    <row r="636" spans="1:6" ht="31.5" x14ac:dyDescent="0.3">
      <c r="A636" s="4" t="s">
        <v>538</v>
      </c>
      <c r="B636" s="1">
        <v>636</v>
      </c>
      <c r="C636" s="18"/>
      <c r="E636" s="13" t="s">
        <v>633</v>
      </c>
      <c r="F636" s="12" t="str">
        <f>TRIM(MID(A636,FIND(":",A636)+2,500))</f>
        <v>Short Transition into Paul’s letter to the Romans (intending to visit Rome in the future)</v>
      </c>
    </row>
    <row r="637" spans="1:6" x14ac:dyDescent="0.3">
      <c r="A637" s="3" t="s">
        <v>361</v>
      </c>
      <c r="B637" s="1">
        <v>637</v>
      </c>
      <c r="C637" s="18"/>
      <c r="F637" s="11" t="str">
        <f>HYPERLINK("http://www.biblegateway.com/passage/?search=Romans%201:1-4,7,16-17&amp;version=NIV",A637)</f>
        <v>Romans 1:1-4,7,16-17</v>
      </c>
    </row>
    <row r="638" spans="1:6" x14ac:dyDescent="0.3">
      <c r="A638" s="3" t="s">
        <v>362</v>
      </c>
      <c r="B638" s="1">
        <v>638</v>
      </c>
      <c r="C638" s="18"/>
      <c r="F638" s="11" t="str">
        <f>HYPERLINK("http://www.biblegateway.com/passage/?search=Romans%203:19-28&amp;version=NIV",A638)</f>
        <v>Romans 3:19-28</v>
      </c>
    </row>
    <row r="639" spans="1:6" x14ac:dyDescent="0.3">
      <c r="A639" s="3" t="s">
        <v>363</v>
      </c>
      <c r="B639" s="1">
        <v>639</v>
      </c>
      <c r="C639" s="18"/>
      <c r="F639" s="11" t="str">
        <f>HYPERLINK("http://www.biblegateway.com/passage/?search=Romans%204:1-8&amp;version=NIV",A639)</f>
        <v>Romans 4:1-8</v>
      </c>
    </row>
    <row r="640" spans="1:6" x14ac:dyDescent="0.3">
      <c r="A640" s="3" t="s">
        <v>364</v>
      </c>
      <c r="B640" s="1">
        <v>640</v>
      </c>
      <c r="C640" s="18"/>
      <c r="F640" s="11" t="str">
        <f>HYPERLINK("http://www.biblegateway.com/passage/?search=Romans%205:%201-11&amp;version=NIV",A640)</f>
        <v>Romans 5: 1-11</v>
      </c>
    </row>
    <row r="641" spans="1:6" x14ac:dyDescent="0.3">
      <c r="A641" s="3" t="s">
        <v>365</v>
      </c>
      <c r="B641" s="1">
        <v>641</v>
      </c>
      <c r="C641" s="18"/>
      <c r="F641" s="11" t="str">
        <f>HYPERLINK("http://www.biblegateway.com/passage/?search=Romans%206:23&amp;version=NIV",A641)</f>
        <v>Romans 6:23</v>
      </c>
    </row>
    <row r="642" spans="1:6" x14ac:dyDescent="0.3">
      <c r="A642" s="3" t="s">
        <v>366</v>
      </c>
      <c r="B642" s="1">
        <v>642</v>
      </c>
      <c r="C642" s="18"/>
      <c r="F642" s="11" t="str">
        <f>HYPERLINK("http://www.biblegateway.com/passage/?search=Romans%208:1-4,12-18,%2028,31-39&amp;version=NIV",A642)</f>
        <v>Romans 8:1-4,12-18, 28,31-39</v>
      </c>
    </row>
    <row r="643" spans="1:6" x14ac:dyDescent="0.3">
      <c r="A643" s="3" t="s">
        <v>367</v>
      </c>
      <c r="B643" s="1">
        <v>643</v>
      </c>
      <c r="C643" s="18"/>
      <c r="F643" s="11" t="str">
        <f>HYPERLINK("http://www.biblegateway.com/passage/?search=Romans%2012:1-8,23b-29&amp;version=NIV",A643)</f>
        <v>Romans 12:1-8,23b-29</v>
      </c>
    </row>
    <row r="644" spans="1:6" x14ac:dyDescent="0.3">
      <c r="A644" s="3" t="s">
        <v>368</v>
      </c>
      <c r="B644" s="1">
        <v>644</v>
      </c>
      <c r="C644" s="18"/>
      <c r="F644" s="11" t="str">
        <f>HYPERLINK("http://www.biblegateway.com/passage/?search=Romans%2015:23b-33&amp;version=NIV",A644)</f>
        <v>Romans 15:23b-33</v>
      </c>
    </row>
    <row r="645" spans="1:6" x14ac:dyDescent="0.3">
      <c r="A645" s="4" t="s">
        <v>539</v>
      </c>
      <c r="B645" s="1">
        <v>645</v>
      </c>
      <c r="C645" s="18"/>
      <c r="E645" s="13" t="s">
        <v>633</v>
      </c>
      <c r="F645" s="12" t="str">
        <f>TRIM(MID(A645,FIND(":",A645)+2,500))</f>
        <v>Paul determines to go to Jerusalem</v>
      </c>
    </row>
    <row r="646" spans="1:6" x14ac:dyDescent="0.3">
      <c r="B646" s="1">
        <v>646</v>
      </c>
    </row>
    <row r="647" spans="1:6" x14ac:dyDescent="0.3">
      <c r="B647" s="1">
        <v>647</v>
      </c>
      <c r="C647" s="16" t="s">
        <v>616</v>
      </c>
    </row>
    <row r="648" spans="1:6" ht="18" x14ac:dyDescent="0.25">
      <c r="B648" s="1">
        <v>648</v>
      </c>
      <c r="D648" s="20" t="s">
        <v>617</v>
      </c>
    </row>
    <row r="649" spans="1:6" x14ac:dyDescent="0.3">
      <c r="A649" s="3" t="s">
        <v>369</v>
      </c>
      <c r="B649" s="1">
        <v>649</v>
      </c>
      <c r="C649" s="18"/>
      <c r="F649" s="11" t="str">
        <f>HYPERLINK("http://www.biblegateway.com/passage/?search=Acts%2020:13-28&amp;version=NIV",A649)</f>
        <v>Acts 20:13-28</v>
      </c>
    </row>
    <row r="650" spans="1:6" x14ac:dyDescent="0.3">
      <c r="A650" s="3" t="s">
        <v>370</v>
      </c>
      <c r="B650" s="1">
        <v>650</v>
      </c>
      <c r="C650" s="18"/>
      <c r="F650" s="11" t="str">
        <f>HYPERLINK("http://www.biblegateway.com/passage/?search=Acts%2020:36-38&amp;version=NIV",A650)</f>
        <v>Acts 20:36-38</v>
      </c>
    </row>
    <row r="651" spans="1:6" x14ac:dyDescent="0.3">
      <c r="A651" s="3" t="s">
        <v>371</v>
      </c>
      <c r="B651" s="1">
        <v>651</v>
      </c>
      <c r="C651" s="18"/>
      <c r="F651" s="11" t="str">
        <f>HYPERLINK("http://www.biblegateway.com/passage/?search=Acts%2021:7-15&amp;version=NIV",A651)</f>
        <v>Acts 21:7-15</v>
      </c>
    </row>
    <row r="652" spans="1:6" ht="31.5" x14ac:dyDescent="0.3">
      <c r="A652" s="4" t="s">
        <v>540</v>
      </c>
      <c r="B652" s="1">
        <v>652</v>
      </c>
      <c r="C652" s="18"/>
      <c r="E652" s="13" t="s">
        <v>633</v>
      </c>
      <c r="F652" s="12" t="str">
        <f>TRIM(MID(A652,FIND(":",A652)+2,500))</f>
        <v>Short Transition back to the story of Acts where Paul had joined the others at Troas</v>
      </c>
    </row>
    <row r="653" spans="1:6" x14ac:dyDescent="0.3">
      <c r="A653" s="3" t="s">
        <v>562</v>
      </c>
      <c r="B653" s="1">
        <v>653</v>
      </c>
      <c r="C653" s="18"/>
      <c r="F653" s="11" t="str">
        <f>HYPERLINK("http://www.biblegateway.com/passage/?search=Acts%2021:27b-23:35&amp;version=NIV",A653)</f>
        <v>Acts 21:27b-23:35</v>
      </c>
    </row>
    <row r="654" spans="1:6" ht="47.25" x14ac:dyDescent="0.3">
      <c r="A654" s="4" t="s">
        <v>634</v>
      </c>
      <c r="B654" s="1">
        <v>654</v>
      </c>
      <c r="C654" s="18"/>
      <c r="E654" s="13" t="s">
        <v>633</v>
      </c>
      <c r="F654" s="12" t="str">
        <f>TRIM(MID(A654,FIND(":",A654)+2,500))</f>
        <v>Short Transition to the arrest of Paul. Transition telling of Paul’s trial before Felix, Festus, his appeal to Caesar, his trial before Agrippa, transition into his setting sail to Rome.</v>
      </c>
    </row>
    <row r="655" spans="1:6" x14ac:dyDescent="0.3">
      <c r="A655" s="3" t="s">
        <v>563</v>
      </c>
      <c r="B655" s="1">
        <v>655</v>
      </c>
      <c r="C655" s="18"/>
      <c r="F655" s="11" t="str">
        <f>HYPERLINK("http://www.biblegateway.com/passage/?search=Acts%2027:1-28:31&amp;version=NIV",A655)</f>
        <v>Acts 27:1-28:31</v>
      </c>
    </row>
    <row r="656" spans="1:6" ht="31.5" x14ac:dyDescent="0.3">
      <c r="A656" s="4" t="s">
        <v>541</v>
      </c>
      <c r="B656" s="1">
        <v>656</v>
      </c>
      <c r="C656" s="18"/>
      <c r="E656" s="13" t="s">
        <v>633</v>
      </c>
      <c r="F656" s="12" t="str">
        <f>TRIM(MID(A656,FIND(":",A656)+2,500))</f>
        <v>Short Transition into Paul’s letter to the Ephesians. (Explain that Paul is writing from prison in Rome)</v>
      </c>
    </row>
    <row r="657" spans="1:6" x14ac:dyDescent="0.3">
      <c r="A657" s="3" t="s">
        <v>372</v>
      </c>
      <c r="B657" s="1">
        <v>657</v>
      </c>
      <c r="C657" s="18"/>
      <c r="F657" s="11" t="str">
        <f>HYPERLINK("http://www.biblegateway.com/passage/?search=Ephesians%201:1-10,16-23&amp;version=NIV",A657)</f>
        <v>Ephesians 1:1-10,16-23</v>
      </c>
    </row>
    <row r="658" spans="1:6" x14ac:dyDescent="0.3">
      <c r="A658" s="3" t="s">
        <v>373</v>
      </c>
      <c r="B658" s="1">
        <v>658</v>
      </c>
      <c r="C658" s="18"/>
      <c r="F658" s="11" t="str">
        <f>HYPERLINK("http://www.biblegateway.com/passage/?search=Ephesians%202:1-22&amp;version=NIV",A658)</f>
        <v>Ephesians 2:1-22</v>
      </c>
    </row>
    <row r="659" spans="1:6" x14ac:dyDescent="0.3">
      <c r="A659" s="3" t="s">
        <v>374</v>
      </c>
      <c r="B659" s="1">
        <v>659</v>
      </c>
      <c r="C659" s="18"/>
      <c r="F659" s="11" t="str">
        <f>HYPERLINK("http://www.biblegateway.com/passage/?search=Ephesians%203:14-21&amp;version=NIV",A659)</f>
        <v>Ephesians 3:14-21</v>
      </c>
    </row>
    <row r="660" spans="1:6" x14ac:dyDescent="0.3">
      <c r="A660" s="3" t="s">
        <v>375</v>
      </c>
      <c r="B660" s="1">
        <v>660</v>
      </c>
      <c r="C660" s="18"/>
      <c r="F660" s="11" t="str">
        <f>HYPERLINK("http://www.biblegateway.com/passage/?search=Ephesians%204:1-6&amp;version=NIV",A660)</f>
        <v>Ephesians 4:1-6</v>
      </c>
    </row>
    <row r="661" spans="1:6" x14ac:dyDescent="0.3">
      <c r="A661" s="3" t="s">
        <v>376</v>
      </c>
      <c r="B661" s="1">
        <v>661</v>
      </c>
      <c r="C661" s="18"/>
      <c r="F661" s="11" t="str">
        <f>HYPERLINK("http://www.biblegateway.com/passage/?search=Ephesians%205:21-33&amp;version=NIV",A661)</f>
        <v>Ephesians 5:21-33</v>
      </c>
    </row>
    <row r="662" spans="1:6" x14ac:dyDescent="0.3">
      <c r="A662" s="3" t="s">
        <v>377</v>
      </c>
      <c r="B662" s="1">
        <v>662</v>
      </c>
      <c r="C662" s="18"/>
      <c r="F662" s="11" t="str">
        <f>HYPERLINK("http://www.biblegateway.com/passage/?search=Ephesians%206:1-4,23-24&amp;version=NIV",A662)</f>
        <v>Ephesians 6:1-4,23-24</v>
      </c>
    </row>
    <row r="663" spans="1:6" x14ac:dyDescent="0.3">
      <c r="A663" s="4" t="s">
        <v>542</v>
      </c>
      <c r="B663" s="1">
        <v>663</v>
      </c>
      <c r="C663" s="18"/>
      <c r="E663" s="13" t="s">
        <v>633</v>
      </c>
      <c r="F663" s="12" t="str">
        <f>TRIM(MID(A663,FIND(":",A663)+2,500))</f>
        <v>Transition to Paul’s final letter</v>
      </c>
    </row>
    <row r="664" spans="1:6" x14ac:dyDescent="0.3">
      <c r="A664" s="3" t="s">
        <v>378</v>
      </c>
      <c r="B664" s="1">
        <v>664</v>
      </c>
      <c r="C664" s="18"/>
      <c r="F664" s="11" t="str">
        <f>HYPERLINK("http://www.biblegateway.com/passage/?search=2%20Timothy%201:1-5,8-12;%202:1-9;%203:10-17;%204:6-13&amp;version=NIV",A664)</f>
        <v>2 Timothy 1:1-5,8-12; 2:1-9; 3:10-17; 4:6-13</v>
      </c>
    </row>
    <row r="665" spans="1:6" ht="63" x14ac:dyDescent="0.3">
      <c r="A665" s="4" t="s">
        <v>543</v>
      </c>
      <c r="B665" s="1">
        <v>665</v>
      </c>
      <c r="C665" s="18"/>
      <c r="E665" s="13" t="s">
        <v>633</v>
      </c>
      <c r="F665" s="12" t="s">
        <v>656</v>
      </c>
    </row>
    <row r="666" spans="1:6" x14ac:dyDescent="0.3">
      <c r="B666" s="1">
        <v>666</v>
      </c>
    </row>
    <row r="667" spans="1:6" x14ac:dyDescent="0.3">
      <c r="B667" s="1">
        <v>667</v>
      </c>
      <c r="C667" s="16" t="s">
        <v>618</v>
      </c>
    </row>
    <row r="668" spans="1:6" ht="18" x14ac:dyDescent="0.25">
      <c r="B668" s="1">
        <v>668</v>
      </c>
      <c r="D668" s="20" t="s">
        <v>619</v>
      </c>
    </row>
    <row r="669" spans="1:6" x14ac:dyDescent="0.3">
      <c r="A669" s="3" t="s">
        <v>379</v>
      </c>
      <c r="B669" s="1">
        <v>669</v>
      </c>
      <c r="C669" s="18"/>
      <c r="F669" s="11" t="str">
        <f>HYPERLINK("http://www.biblegateway.com/passage/?search=Revelation%201:1-20&amp;version=NIV",A669)</f>
        <v>Revelation 1:1-20</v>
      </c>
    </row>
    <row r="670" spans="1:6" x14ac:dyDescent="0.3">
      <c r="A670" s="4" t="s">
        <v>292</v>
      </c>
      <c r="B670" s="1">
        <v>670</v>
      </c>
      <c r="C670" s="18"/>
      <c r="E670" s="13" t="s">
        <v>633</v>
      </c>
      <c r="F670" s="14"/>
    </row>
    <row r="671" spans="1:6" x14ac:dyDescent="0.3">
      <c r="A671" s="3" t="s">
        <v>380</v>
      </c>
      <c r="B671" s="1">
        <v>671</v>
      </c>
      <c r="C671" s="18"/>
      <c r="F671" s="11" t="str">
        <f>HYPERLINK("http://www.biblegateway.com/passage/?search=Revelation%202:1-7&amp;version=NIV",A671)</f>
        <v>Revelation 2:1-7</v>
      </c>
    </row>
    <row r="672" spans="1:6" x14ac:dyDescent="0.3">
      <c r="A672" s="3" t="s">
        <v>381</v>
      </c>
      <c r="B672" s="1">
        <v>672</v>
      </c>
      <c r="C672" s="18"/>
      <c r="F672" s="11" t="str">
        <f>HYPERLINK("http://www.biblegateway.com/passage/?search=Revelation%203:1-6&amp;version=NIV",A672)</f>
        <v>Revelation 3:1-6</v>
      </c>
    </row>
    <row r="673" spans="1:6" x14ac:dyDescent="0.3">
      <c r="A673" s="3" t="s">
        <v>382</v>
      </c>
      <c r="B673" s="1">
        <v>673</v>
      </c>
      <c r="C673" s="18"/>
      <c r="F673" s="11" t="str">
        <f>HYPERLINK("http://www.biblegateway.com/passage/?search=Revelation%203:14-22&amp;version=NIV",A673)</f>
        <v>Revelation 3:14-22</v>
      </c>
    </row>
    <row r="674" spans="1:6" x14ac:dyDescent="0.3">
      <c r="A674" s="4" t="s">
        <v>292</v>
      </c>
      <c r="B674" s="1">
        <v>674</v>
      </c>
      <c r="C674" s="18"/>
      <c r="E674" s="13" t="s">
        <v>633</v>
      </c>
      <c r="F674" s="14"/>
    </row>
    <row r="675" spans="1:6" x14ac:dyDescent="0.3">
      <c r="A675" s="3" t="s">
        <v>564</v>
      </c>
      <c r="B675" s="1">
        <v>675</v>
      </c>
      <c r="C675" s="18"/>
      <c r="F675" s="11" t="str">
        <f>HYPERLINK("http://www.biblegateway.com/passage/?search=Revelation%204:1-5:14&amp;version=NIV",A675)</f>
        <v>Revelation 4:1-5:14</v>
      </c>
    </row>
    <row r="676" spans="1:6" x14ac:dyDescent="0.3">
      <c r="A676" s="3" t="s">
        <v>383</v>
      </c>
      <c r="B676" s="1">
        <v>676</v>
      </c>
      <c r="C676" s="18"/>
      <c r="F676" s="11" t="str">
        <f>HYPERLINK("http://www.biblegateway.com/passage/?search=Revelation%2019:5-16&amp;version=NIV",A676)</f>
        <v>Revelation 19:5-16</v>
      </c>
    </row>
    <row r="677" spans="1:6" x14ac:dyDescent="0.3">
      <c r="A677" s="4" t="s">
        <v>502</v>
      </c>
      <c r="B677" s="1">
        <v>677</v>
      </c>
      <c r="C677" s="18"/>
      <c r="E677" s="13" t="s">
        <v>633</v>
      </c>
      <c r="F677" s="12" t="str">
        <f>TRIM(MID(A677,FIND(":",A677)+2,500))</f>
        <v>Short transition</v>
      </c>
    </row>
    <row r="678" spans="1:6" x14ac:dyDescent="0.3">
      <c r="A678" s="3" t="s">
        <v>384</v>
      </c>
      <c r="B678" s="1">
        <v>678</v>
      </c>
      <c r="C678" s="18"/>
      <c r="F678" s="11" t="str">
        <f>HYPERLINK("http://www.biblegateway.com/passage/?search=Revelation%2020:11-15&amp;version=NIV",A678)</f>
        <v>Revelation 20:11-15</v>
      </c>
    </row>
    <row r="679" spans="1:6" x14ac:dyDescent="0.3">
      <c r="A679" s="3" t="s">
        <v>565</v>
      </c>
      <c r="B679" s="1">
        <v>679</v>
      </c>
      <c r="C679" s="18"/>
      <c r="F679" s="11" t="str">
        <f>HYPERLINK("http://www.biblegateway.com/passage/?search=Revelation%2021:1-22:21&amp;version=NIV",A679)</f>
        <v>Revelation 21:1-22:21</v>
      </c>
    </row>
    <row r="680" spans="1:6" x14ac:dyDescent="0.25">
      <c r="A680" s="1"/>
      <c r="B680" s="1"/>
      <c r="C680" s="18"/>
      <c r="D680" s="21"/>
      <c r="E680" s="9"/>
      <c r="F680" s="9"/>
    </row>
  </sheetData>
  <sortState ref="A1:G680">
    <sortCondition ref="B1:B680"/>
  </sortState>
  <mergeCells count="2">
    <mergeCell ref="C2:G2"/>
    <mergeCell ref="C1:G1"/>
  </mergeCells>
  <phoneticPr fontId="14" type="noConversion"/>
  <printOptions horizontalCentered="1"/>
  <pageMargins left="0.75" right="0.75" top="0.5" bottom="0.5" header="0.5" footer="0.5"/>
  <pageSetup orientation="portrait" horizontalDpi="4294967292" verticalDpi="4294967292" r:id="rId1"/>
  <headerFooter>
    <oddFooter>&amp;C&amp;"Calibri,Regular"&amp;K000000&amp;P/&amp;N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The Story</vt:lpstr>
      <vt:lpstr>'The Story'!Print_Titles</vt:lpstr>
    </vt:vector>
  </TitlesOfParts>
  <Company>Zondervan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Sammons</dc:creator>
  <cp:lastModifiedBy>DeWitt, Brianna</cp:lastModifiedBy>
  <cp:lastPrinted>2011-10-29T13:36:02Z</cp:lastPrinted>
  <dcterms:created xsi:type="dcterms:W3CDTF">2011-10-29T09:39:25Z</dcterms:created>
  <dcterms:modified xsi:type="dcterms:W3CDTF">2012-05-30T20:09:29Z</dcterms:modified>
</cp:coreProperties>
</file>